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TRT Alex\2023\MINUTA - PREGÃO - 2023\PROAD 1199-2023\"/>
    </mc:Choice>
  </mc:AlternateContent>
  <bookViews>
    <workbookView xWindow="0" yWindow="0" windowWidth="16380" windowHeight="8190" tabRatio="500" activeTab="4"/>
  </bookViews>
  <sheets>
    <sheet name="Resumo" sheetId="1" r:id="rId1"/>
    <sheet name="Instalador de áudio" sheetId="2" r:id="rId2"/>
    <sheet name="Uniformes" sheetId="3" r:id="rId3"/>
    <sheet name="EPIs" sheetId="4" r:id="rId4"/>
    <sheet name="Deslocamento" sheetId="5" r:id="rId5"/>
  </sheets>
  <definedNames>
    <definedName name="_xlnm.Print_Area" localSheetId="4">Deslocamento!$B$1:$G$21</definedName>
    <definedName name="_xlnm.Print_Area" localSheetId="3">EPIs!$B$1:$I$22</definedName>
    <definedName name="_xlnm.Print_Area" localSheetId="1">'Instalador de áudio'!$B$2:$F$151</definedName>
    <definedName name="_xlnm.Print_Area" localSheetId="0">Resumo!$B$2:$G$15</definedName>
    <definedName name="_xlnm.Print_Area" localSheetId="2">Uniformes!$B$1:$I$22</definedName>
  </definedName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64" i="2" l="1"/>
  <c r="D63" i="2"/>
  <c r="F25" i="2"/>
  <c r="F13" i="5" l="1"/>
  <c r="F11" i="5"/>
  <c r="G11" i="5"/>
  <c r="G10" i="5"/>
  <c r="G14" i="5" l="1"/>
  <c r="F19" i="5"/>
  <c r="C18" i="5"/>
  <c r="G13" i="5"/>
  <c r="G12" i="5"/>
  <c r="F21" i="4"/>
  <c r="H21" i="4" s="1"/>
  <c r="I21" i="4" s="1"/>
  <c r="F20" i="4"/>
  <c r="H20" i="4" s="1"/>
  <c r="I20" i="4" s="1"/>
  <c r="F19" i="4"/>
  <c r="H19" i="4" s="1"/>
  <c r="I19" i="4" s="1"/>
  <c r="H18" i="4"/>
  <c r="I18" i="4" s="1"/>
  <c r="F18" i="4"/>
  <c r="F17" i="4"/>
  <c r="H17" i="4" s="1"/>
  <c r="I17" i="4" s="1"/>
  <c r="F16" i="4"/>
  <c r="H16" i="4" s="1"/>
  <c r="I16" i="4" s="1"/>
  <c r="F15" i="4"/>
  <c r="H15" i="4" s="1"/>
  <c r="I15" i="4" s="1"/>
  <c r="F14" i="4"/>
  <c r="H14" i="4" s="1"/>
  <c r="I14" i="4" s="1"/>
  <c r="F13" i="4"/>
  <c r="H13" i="4" s="1"/>
  <c r="I13" i="4" s="1"/>
  <c r="F12" i="4"/>
  <c r="H12" i="4" s="1"/>
  <c r="I12" i="4" s="1"/>
  <c r="F11" i="4"/>
  <c r="H11" i="4" s="1"/>
  <c r="I11" i="4" s="1"/>
  <c r="H10" i="4"/>
  <c r="I10" i="4" s="1"/>
  <c r="F10" i="4"/>
  <c r="H21" i="3"/>
  <c r="I21" i="3" s="1"/>
  <c r="F21" i="3"/>
  <c r="F20" i="3"/>
  <c r="H20" i="3" s="1"/>
  <c r="I20" i="3" s="1"/>
  <c r="F19" i="3"/>
  <c r="H19" i="3" s="1"/>
  <c r="I19" i="3" s="1"/>
  <c r="F18" i="3"/>
  <c r="H18" i="3" s="1"/>
  <c r="I18" i="3" s="1"/>
  <c r="H17" i="3"/>
  <c r="I17" i="3" s="1"/>
  <c r="F17" i="3"/>
  <c r="F16" i="3"/>
  <c r="H16" i="3" s="1"/>
  <c r="I16" i="3" s="1"/>
  <c r="F15" i="3"/>
  <c r="H15" i="3" s="1"/>
  <c r="I15" i="3" s="1"/>
  <c r="F14" i="3"/>
  <c r="H14" i="3" s="1"/>
  <c r="I14" i="3" s="1"/>
  <c r="H13" i="3"/>
  <c r="I13" i="3" s="1"/>
  <c r="F13" i="3"/>
  <c r="F12" i="3"/>
  <c r="H12" i="3" s="1"/>
  <c r="I12" i="3" s="1"/>
  <c r="F11" i="3"/>
  <c r="H11" i="3" s="1"/>
  <c r="I11" i="3" s="1"/>
  <c r="F10" i="3"/>
  <c r="H10" i="3" s="1"/>
  <c r="I10" i="3" s="1"/>
  <c r="E135" i="2"/>
  <c r="E134" i="2" s="1"/>
  <c r="E138" i="2" s="1"/>
  <c r="E109" i="2"/>
  <c r="E100" i="2"/>
  <c r="E99" i="2"/>
  <c r="E98" i="2"/>
  <c r="E97" i="2"/>
  <c r="E96" i="2"/>
  <c r="E95" i="2"/>
  <c r="E85" i="2"/>
  <c r="E84" i="2"/>
  <c r="E83" i="2"/>
  <c r="E81" i="2"/>
  <c r="E82" i="2" s="1"/>
  <c r="F65" i="2"/>
  <c r="E64" i="2"/>
  <c r="F64" i="2" s="1"/>
  <c r="E63" i="2"/>
  <c r="F63" i="2"/>
  <c r="E57" i="2"/>
  <c r="E51" i="2"/>
  <c r="F62" i="2"/>
  <c r="F10" i="1"/>
  <c r="F67" i="2" l="1"/>
  <c r="F74" i="2" s="1"/>
  <c r="D17" i="5"/>
  <c r="D16" i="5"/>
  <c r="I22" i="3"/>
  <c r="F122" i="2" s="1"/>
  <c r="I22" i="4"/>
  <c r="F123" i="2" s="1"/>
  <c r="E86" i="2"/>
  <c r="E101" i="2"/>
  <c r="F26" i="2"/>
  <c r="F32" i="2" s="1"/>
  <c r="F126" i="2" l="1"/>
  <c r="F148" i="2" s="1"/>
  <c r="F108" i="2"/>
  <c r="F109" i="2" s="1"/>
  <c r="F115" i="2" s="1"/>
  <c r="F98" i="2"/>
  <c r="F144" i="2"/>
  <c r="F41" i="2"/>
  <c r="F100" i="2"/>
  <c r="F96" i="2"/>
  <c r="F40" i="2"/>
  <c r="F42" i="2" s="1"/>
  <c r="F72" i="2" s="1"/>
  <c r="F84" i="2"/>
  <c r="F95" i="2"/>
  <c r="F85" i="2"/>
  <c r="F81" i="2"/>
  <c r="F97" i="2"/>
  <c r="F99" i="2"/>
  <c r="F82" i="2"/>
  <c r="F83" i="2"/>
  <c r="E102" i="2"/>
  <c r="F102" i="2" s="1"/>
  <c r="F101" i="2"/>
  <c r="F103" i="2" s="1"/>
  <c r="F114" i="2" s="1"/>
  <c r="F116" i="2" s="1"/>
  <c r="F147" i="2" s="1"/>
  <c r="E103" i="2"/>
  <c r="F86" i="2"/>
  <c r="D18" i="5"/>
  <c r="F87" i="2" l="1"/>
  <c r="F146" i="2" s="1"/>
  <c r="F44" i="2"/>
  <c r="D19" i="5"/>
  <c r="F55" i="2" l="1"/>
  <c r="F51" i="2"/>
  <c r="F53" i="2"/>
  <c r="F50" i="2"/>
  <c r="F56" i="2"/>
  <c r="F49" i="2"/>
  <c r="F54" i="2"/>
  <c r="F52" i="2"/>
  <c r="G17" i="5"/>
  <c r="G18" i="5"/>
  <c r="G16" i="5"/>
  <c r="G19" i="5" l="1"/>
  <c r="G20" i="5" s="1"/>
  <c r="G21" i="5" s="1"/>
  <c r="G14" i="1" s="1"/>
  <c r="F57" i="2"/>
  <c r="F73" i="2" s="1"/>
  <c r="F75" i="2" s="1"/>
  <c r="F145" i="2" s="1"/>
  <c r="F149" i="2" s="1"/>
  <c r="F132" i="2" l="1"/>
  <c r="F133" i="2" l="1"/>
  <c r="F134" i="2" s="1"/>
  <c r="F137" i="2" l="1"/>
  <c r="F135" i="2"/>
  <c r="F136" i="2"/>
  <c r="F138" i="2" l="1"/>
  <c r="F150" i="2" s="1"/>
  <c r="F151" i="2" s="1"/>
  <c r="E9" i="1" s="1"/>
  <c r="G9" i="1" s="1"/>
  <c r="G10" i="1" s="1"/>
  <c r="G13" i="1" s="1"/>
  <c r="G15" i="1" s="1"/>
</calcChain>
</file>

<file path=xl/comments1.xml><?xml version="1.0" encoding="utf-8"?>
<comments xmlns="http://schemas.openxmlformats.org/spreadsheetml/2006/main">
  <authors>
    <author/>
  </authors>
  <commentList>
    <comment ref="E84" authorId="0" shapeId="0">
      <text>
        <r>
          <rPr>
            <sz val="11"/>
            <color rgb="FF000000"/>
            <rFont val="Calibri"/>
            <family val="2"/>
            <charset val="1"/>
          </rPr>
          <t>Conforme recomendação Acórdão TCU nº 3.006/2010 e nº
1.094/2007</t>
        </r>
      </text>
    </comment>
    <comment ref="F124" authorId="0" shapeId="0">
      <text>
        <r>
          <rPr>
            <sz val="11"/>
            <color rgb="FF000000"/>
            <rFont val="Calibri"/>
            <family val="2"/>
            <charset val="1"/>
          </rPr>
          <t>Utilizou-se como referência o valor praticado em outros contratos do Tribunal</t>
        </r>
      </text>
    </comment>
  </commentList>
</comments>
</file>

<file path=xl/sharedStrings.xml><?xml version="1.0" encoding="utf-8"?>
<sst xmlns="http://schemas.openxmlformats.org/spreadsheetml/2006/main" count="304" uniqueCount="188">
  <si>
    <t>PLANILHA DE CUSTOS E FORMAÇÃO DE PREÇOS</t>
  </si>
  <si>
    <t>MODELO PARA A CONSOLIDAÇÃO E APRESENTAÇÃO DE PROPOSTAS</t>
  </si>
  <si>
    <t>Planilha em conformidade com as INs 05/2017 e 07/2018.</t>
  </si>
  <si>
    <r>
      <rPr>
        <sz val="12"/>
        <rFont val="Calibri"/>
        <family val="2"/>
        <charset val="1"/>
      </rPr>
      <t xml:space="preserve">Serviço de Instalador de Áudio - Pregão Eletrônico nº </t>
    </r>
    <r>
      <rPr>
        <sz val="12"/>
        <color rgb="FFFF0000"/>
        <rFont val="Calibri"/>
        <family val="2"/>
        <charset val="1"/>
      </rPr>
      <t>XXX</t>
    </r>
  </si>
  <si>
    <t>ITEM</t>
  </si>
  <si>
    <t>UNIDADE</t>
  </si>
  <si>
    <t>POSTO</t>
  </si>
  <si>
    <t>VALOR MENSAL POR POSTO</t>
  </si>
  <si>
    <t>NÚMERO DE POSTOS</t>
  </si>
  <si>
    <t>VALOR MENSAL TOTAL</t>
  </si>
  <si>
    <t>Curitiba</t>
  </si>
  <si>
    <t>Instalador de áudio - 30 horas semanais (6 horas diárias)</t>
  </si>
  <si>
    <t>Mão-de-obra total</t>
  </si>
  <si>
    <t>DESCRIÇÃO</t>
  </si>
  <si>
    <t>Mão-de-obra</t>
  </si>
  <si>
    <r>
      <rPr>
        <sz val="11"/>
        <color rgb="FF000000"/>
        <rFont val="Calibri"/>
        <family val="2"/>
        <charset val="1"/>
      </rPr>
      <t xml:space="preserve">Deslocamento </t>
    </r>
    <r>
      <rPr>
        <sz val="10"/>
        <color rgb="FF000000"/>
        <rFont val="Arial"/>
        <family val="2"/>
        <charset val="1"/>
      </rPr>
      <t>(pagamento condicionado a efetiva realização do deslocamento)</t>
    </r>
  </si>
  <si>
    <t>Total mensal máximo</t>
  </si>
  <si>
    <r>
      <rPr>
        <sz val="12"/>
        <rFont val="Calibri"/>
        <family val="2"/>
        <charset val="1"/>
      </rPr>
      <t>Serviço de Instalador de Áudio</t>
    </r>
    <r>
      <rPr>
        <sz val="11"/>
        <rFont val="Calibri"/>
        <family val="2"/>
        <charset val="1"/>
      </rPr>
      <t xml:space="preserve"> - Pregão Eletrônico nº</t>
    </r>
    <r>
      <rPr>
        <sz val="11"/>
        <color rgb="FFFF0000"/>
        <rFont val="Calibri"/>
        <family val="2"/>
        <charset val="1"/>
      </rPr>
      <t xml:space="preserve"> XXX</t>
    </r>
  </si>
  <si>
    <t>A</t>
  </si>
  <si>
    <t>Data de Apresentação da Proposta (dia/mês/ano)</t>
  </si>
  <si>
    <t>B</t>
  </si>
  <si>
    <t>Município/UF</t>
  </si>
  <si>
    <t>Curitiba-PR</t>
  </si>
  <si>
    <t>C</t>
  </si>
  <si>
    <t>Ano Acordo, Convenção ou Sentença Normativa em Dissídio Coletivo</t>
  </si>
  <si>
    <t>D</t>
  </si>
  <si>
    <t>Nº de meses de execução contratual</t>
  </si>
  <si>
    <t>Tipo de Serviço</t>
  </si>
  <si>
    <t>Instalador de áudio – 30h</t>
  </si>
  <si>
    <t>Classificação Brasileira de Ocupações (CBO)</t>
  </si>
  <si>
    <t>CBO 3741-10</t>
  </si>
  <si>
    <t>Salário Normativo da Categoria Profissional</t>
  </si>
  <si>
    <t>Categoria Profissional (vinculada à execução contratual)</t>
  </si>
  <si>
    <t>Empregado (atividades técnicas em serviços de radiodifusão) – SERT-PR</t>
  </si>
  <si>
    <t>Data Base da categoria (dia/mês/ano)</t>
  </si>
  <si>
    <t>Localidade</t>
  </si>
  <si>
    <t>Curitiba 528</t>
  </si>
  <si>
    <t>Quantidade de pessoas por posto</t>
  </si>
  <si>
    <t>Módulo 1 - Composição da Remuneração</t>
  </si>
  <si>
    <t>Composição da Remuneração</t>
  </si>
  <si>
    <t>Valor (R$)</t>
  </si>
  <si>
    <t>Salário-Base</t>
  </si>
  <si>
    <t>Gratificação por Acúmulo de Função</t>
  </si>
  <si>
    <t>Adicional de Periculosidade</t>
  </si>
  <si>
    <t>Adicional de Insalubridade</t>
  </si>
  <si>
    <t>E</t>
  </si>
  <si>
    <t>Adicional Noturno</t>
  </si>
  <si>
    <t>G</t>
  </si>
  <si>
    <t>Adicional de Hora Noturna Reduzida</t>
  </si>
  <si>
    <t>H</t>
  </si>
  <si>
    <t>Outros (especificar)</t>
  </si>
  <si>
    <t>Total</t>
  </si>
  <si>
    <t>Módulo 2 - Encargos e Benefícios Anuais, Mensais e Diários</t>
  </si>
  <si>
    <t>Submódulo 2.1 - 13º (décimo terceiro) Salário, Férias e Adicional de Férias</t>
  </si>
  <si>
    <t>2.1</t>
  </si>
  <si>
    <t>13º (décimo terceiro) Salário e Adicional de Férias</t>
  </si>
  <si>
    <t>13º (décimo terceiro) Salário</t>
  </si>
  <si>
    <t>Adicional de Férias</t>
  </si>
  <si>
    <t>Base de cálculo para o Submódulo 2.2 (Somatório do Módulo 1 e do Submódulo 2.1)</t>
  </si>
  <si>
    <t>Submódulo 2.2 - Encargos Previdenciários (GPS), Fundo de Garantia por Tempo de Serviço (FGTS) e outras contribuições.</t>
  </si>
  <si>
    <t>2.2</t>
  </si>
  <si>
    <t>GPS, FGTS e outras contribuições</t>
  </si>
  <si>
    <t>Percentual (%)</t>
  </si>
  <si>
    <t>INSS</t>
  </si>
  <si>
    <t>Salário Educação</t>
  </si>
  <si>
    <t>SAT</t>
  </si>
  <si>
    <t>SESC ou SESI</t>
  </si>
  <si>
    <t>SENAI - SENAC</t>
  </si>
  <si>
    <t>F</t>
  </si>
  <si>
    <t>SEBRAE</t>
  </si>
  <si>
    <t>INCRA</t>
  </si>
  <si>
    <t>FGTS</t>
  </si>
  <si>
    <t xml:space="preserve">Total </t>
  </si>
  <si>
    <t>Submódulo 2.3 - Benefícios Mensais e Diários.</t>
  </si>
  <si>
    <t>2.3</t>
  </si>
  <si>
    <t>Benefícios Mensais e Diários</t>
  </si>
  <si>
    <t>Valor unit. (R$)</t>
  </si>
  <si>
    <t>Quant. mensal</t>
  </si>
  <si>
    <t>Transporte</t>
  </si>
  <si>
    <t>Auxílio Creche</t>
  </si>
  <si>
    <t>Auxílio Funeral</t>
  </si>
  <si>
    <t>Seguro de Vida</t>
  </si>
  <si>
    <t>Quadro-Resumo do Módulo 2 - Encargos e Benefícios anuais, mensais e diários</t>
  </si>
  <si>
    <t>Encargos e Benefícios Anuais, Mensais e Diários</t>
  </si>
  <si>
    <t>Módulo 3 - Provisão para Rescisão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</si>
  <si>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</si>
  <si>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</si>
  <si>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</si>
  <si>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</si>
  <si>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</si>
  <si>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Incidência dos encargos do submódulo 2.2 sobre o Aviso Prévio Trabalhado</t>
  </si>
  <si>
    <t>Multa do FGTS e contribuição social sobre o Aviso Prévio Trabalhado</t>
  </si>
  <si>
    <t>Módulo 4 - Custo de Reposição do Profissional Ausente</t>
  </si>
  <si>
    <t>Submódulo 4.1 - Ausências Legais</t>
  </si>
  <si>
    <t>4.1</t>
  </si>
  <si>
    <t>Substituto nas Ausências Legais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</si>
  <si>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</si>
  <si>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</si>
  <si>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</si>
  <si>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</si>
  <si>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</si>
  <si>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Ausências por Doença</t>
  </si>
  <si>
    <t>Subtotal</t>
  </si>
  <si>
    <t>Incidência do Submódulo 2.2 sobre a substituição nas Ausências Legais</t>
  </si>
  <si>
    <t>Submódulo 4.2 - Intrajornada</t>
  </si>
  <si>
    <t>4.2</t>
  </si>
  <si>
    <t>Intrajornada</t>
  </si>
  <si>
    <t>Intervalo para repouso e alimentação</t>
  </si>
  <si>
    <t>Quadro-Resumo do Módulo 4 - Custo de Reposição do Profissional Ausente</t>
  </si>
  <si>
    <t>Custo de Reposição do Profissional Ausente</t>
  </si>
  <si>
    <t>Ausências Legais</t>
  </si>
  <si>
    <t>Módulo 5 - Insumos Diversos</t>
  </si>
  <si>
    <t>Insumos Diversos</t>
  </si>
  <si>
    <t>Uniformes</t>
  </si>
  <si>
    <t>Equipamentos de Proteção Individual (EPIs)</t>
  </si>
  <si>
    <t>Treinamento - Resolução CSJT 98/2012</t>
  </si>
  <si>
    <t>Módulo 6 - Custos Indiretos, Tributos e Lucro</t>
  </si>
  <si>
    <t>Custos Indiretos, Tributos e Lucro</t>
  </si>
  <si>
    <t>Custos Indiretos</t>
  </si>
  <si>
    <t>Lucro</t>
  </si>
  <si>
    <t>Tributos</t>
  </si>
  <si>
    <t>C.1. Tributos Federais (especificar)</t>
  </si>
  <si>
    <t>C.2. Tributos Estaduais (especificar)</t>
  </si>
  <si>
    <t>C.3. Tributos Municipais (especificar)</t>
  </si>
  <si>
    <t>QUADRO-RESUMO DO CUSTO POR EMPREGADO</t>
  </si>
  <si>
    <t>Mão de obra vinculada à execução contratual (valor por empregado)</t>
  </si>
  <si>
    <t>Subtotal (A + B +C+ D+E)</t>
  </si>
  <si>
    <t>Módulo 6 – Custos Indiretos, Tributos e Lucro</t>
  </si>
  <si>
    <t xml:space="preserve">Valor Total por Empregado </t>
  </si>
  <si>
    <t>Item</t>
  </si>
  <si>
    <t>Descrição</t>
  </si>
  <si>
    <t>Quantidade</t>
  </si>
  <si>
    <t>Freq. de fornecimento ao ano</t>
  </si>
  <si>
    <t>Quantidade total ao ano</t>
  </si>
  <si>
    <t>Preço Unitário</t>
  </si>
  <si>
    <t>Preço total ao ano</t>
  </si>
  <si>
    <t>Preço total ao mês</t>
  </si>
  <si>
    <t>Camisa social manga longa em algodão, preta, não transparente</t>
  </si>
  <si>
    <t>Camisetas gola polo, preta, não transparente</t>
  </si>
  <si>
    <t>Camiseta gola redonda, manga curta, preta, não transparente</t>
  </si>
  <si>
    <t>Calça social em tecido Oxford, preta, não transparente</t>
  </si>
  <si>
    <t>Calça jeans preta</t>
  </si>
  <si>
    <t>Suéter de fio preto</t>
  </si>
  <si>
    <t>Jaqueta impermeável acolchoada com zíper, modelo tipo trekking (para facilitar movimentos), preta</t>
  </si>
  <si>
    <t>Jaleco manga longa com botões, cor preta</t>
  </si>
  <si>
    <t>Par de sapatos tipo social, sem cadarço, na cor preta, 100% couro sintético, solado antiderrapante de PU com bolha de ar/gel para absorção de impacto nas articulações ou borracha antistress, palmilha acolchoada com memória permanente e que não se deforma, anti-odor</t>
  </si>
  <si>
    <t>Par de meias 100% algodão, na cor preta</t>
  </si>
  <si>
    <t>Cinto preto em couro sintético, ou borracha, ou plástico, com aparência de couro</t>
  </si>
  <si>
    <t>Crachá de identificação em PVC</t>
  </si>
  <si>
    <t>Valor total mensal de uniformes por profissional</t>
  </si>
  <si>
    <t>EPIs</t>
  </si>
  <si>
    <r>
      <rPr>
        <b/>
        <sz val="12"/>
        <color rgb="FF000000"/>
        <rFont val="Calibri"/>
        <family val="2"/>
        <charset val="1"/>
      </rPr>
      <t xml:space="preserve">Bota ocupacional
</t>
    </r>
    <r>
      <rPr>
        <sz val="11"/>
        <color rgb="FF000000"/>
        <rFont val="Calibri"/>
        <family val="2"/>
        <charset val="1"/>
      </rPr>
      <t>Confeccionada em M Micro Suede, fechamento em cadarço, colarinho em sintético soft acolchoado forrado em tecido, linqueta semi-fole, palmilha de montagem em poliéster resinado fixada/costurada junto ao cabedal (processo Strobel), solado em PU Bidensidade com sistema de absorção de impacto, injetado diretamente ao cabedal. Cabedal, confeccionado em microfibra de alta durabilidade, que permite a respirabilidade e mantém a temperatura dos pés. Solado PU Bidensidade, com sistema de absorção de impacto na entressola e na região do calcanhar, com sistema em TPU ANTI-TORSION para dar maior sustentação ao tornozelo, Ecológica e livre de agentes prejudiciais à saúde, como o Cromo VI. Sem utilização de couro.</t>
    </r>
  </si>
  <si>
    <r>
      <rPr>
        <b/>
        <sz val="12"/>
        <color rgb="FF000000"/>
        <rFont val="Calibri"/>
        <family val="2"/>
        <charset val="1"/>
      </rPr>
      <t xml:space="preserve">Capacete de segurança industrial
</t>
    </r>
    <r>
      <rPr>
        <sz val="11"/>
        <color rgb="FF000000"/>
        <rFont val="Calibri"/>
        <family val="2"/>
        <charset val="1"/>
      </rPr>
      <t xml:space="preserve">Com 8 tiras de fixação em 8 pontos de ancoragem. Materiais: polietileno. Cor: Branca. Fixação traseira para terceiro ponto de ancoragem da jugular com queixeira. </t>
    </r>
  </si>
  <si>
    <r>
      <rPr>
        <b/>
        <sz val="12"/>
        <color rgb="FF000000"/>
        <rFont val="Calibri"/>
        <family val="2"/>
        <charset val="1"/>
      </rPr>
      <t xml:space="preserve">Par de Luvas
</t>
    </r>
    <r>
      <rPr>
        <sz val="11"/>
        <color rgb="FF000000"/>
        <rFont val="Calibri"/>
        <family val="2"/>
        <charset val="1"/>
      </rPr>
      <t xml:space="preserve">Anticorte de segurança em fibra de vidro, náilon e lycra, com revestimento nitrílico na face palmar e pontas dos dedos, reforço na pinça do polegar com punho tricotado em elástico e acabamento em overloque. Nível 5 para destreza, 4 para resistência e abrasão, 2 para resistência ao corte por lâmina, 4 para resistência ao rasgamento, e 1 para resistência a perfuração por punção. </t>
    </r>
  </si>
  <si>
    <r>
      <rPr>
        <b/>
        <sz val="12"/>
        <color rgb="FF000000"/>
        <rFont val="Calibri"/>
        <family val="2"/>
        <charset val="1"/>
      </rPr>
      <t xml:space="preserve">Óculos de segurança
</t>
    </r>
    <r>
      <rPr>
        <sz val="11"/>
        <color rgb="FF000000"/>
        <rFont val="Calibri"/>
        <family val="2"/>
        <charset val="1"/>
      </rPr>
      <t>Com lente única. Proteção Frontal e Lateral. Lentes de policarbonato, cristal transparente, com Armação e hastes flexíveis de Nylon. Hastes telescópicas ajustáveis a 4 posições de comprimento. Parafuso de aço inoxidável, Anti-embaçamento (AF), Anti-risco (HC), Outdoor / Indoor (O/I)</t>
    </r>
  </si>
  <si>
    <r>
      <rPr>
        <b/>
        <sz val="12"/>
        <color rgb="FF000000"/>
        <rFont val="Calibri"/>
        <family val="2"/>
        <charset val="1"/>
      </rPr>
      <t xml:space="preserve">Protetor Ouvido 17 dB
</t>
    </r>
    <r>
      <rPr>
        <sz val="11"/>
        <color rgb="FF000000"/>
        <rFont val="Calibri"/>
        <family val="2"/>
        <charset val="1"/>
      </rPr>
      <t>Plug contra o ruído. Em polímero ultra-soft-hipoalergênico, reutilizável e lavável. Design de três falanges que permitem o seu ajuste a todos os canais auditivos Grip resistente para facilitar o posicionamento e a correta inserção / remoção. Com cordão têxtil de poliéster.</t>
    </r>
  </si>
  <si>
    <t>Respirador tipo concha, Classe PFF2, Sem válvula</t>
  </si>
  <si>
    <r>
      <rPr>
        <b/>
        <sz val="12"/>
        <color rgb="FF000000"/>
        <rFont val="Calibri"/>
        <family val="2"/>
        <charset val="1"/>
      </rPr>
      <t xml:space="preserve">Cinturão de segurança Tipo Paraquedista
</t>
    </r>
    <r>
      <rPr>
        <sz val="11"/>
        <color rgb="FF000000"/>
        <rFont val="Calibri"/>
        <family val="2"/>
        <charset val="1"/>
      </rPr>
      <t>Confeccionado em fita primária em poliéster de 45mm e fita secundária em poliéster de 25mm. Com 3 meias argolas estampadas de aço, sendo 1 dorsal para ancoragem e 2 laterais para descanso para talabarte. Dotado de 03 fivelas de chapa de aço estampada sem pino para regulagem sendo 01 na cintura e 02 nas pernas e para ajuste peitoral 01 fivela em D 3mm niquelada. Fita de poliéster 45mm – RE 6321/ Fita poliéster 25 mm – RE 6263. Tamanho único. NBR 15836/2010</t>
    </r>
  </si>
  <si>
    <t>A cada 3 anos ou tempo de validade indicada pelo fabricante</t>
  </si>
  <si>
    <r>
      <rPr>
        <b/>
        <sz val="12"/>
        <color rgb="FF000000"/>
        <rFont val="Calibri"/>
        <family val="2"/>
        <charset val="1"/>
      </rPr>
      <t xml:space="preserve">Talabarte de segurança em Y 
</t>
    </r>
    <r>
      <rPr>
        <sz val="11"/>
        <color rgb="FF000000"/>
        <rFont val="Calibri"/>
        <family val="2"/>
        <charset val="1"/>
      </rPr>
      <t>Talabarte de segurança em Y com absorvedor de energia, confeccionado com cadarço de aramida de 45 mm. Comprimento de pelo menos 1,30 cm. Absorvedor de energia. Aramida resistente a chama. Com abertura de 20 mm e 55 mm de trava dupla. Chip NFC para inspeção através do celular – Check EPIT</t>
    </r>
  </si>
  <si>
    <r>
      <rPr>
        <b/>
        <sz val="12"/>
        <color rgb="FF000000"/>
        <rFont val="Calibri"/>
        <family val="2"/>
        <charset val="1"/>
      </rPr>
      <t xml:space="preserve">Cinto de Segurança com porta Ferramentas
</t>
    </r>
    <r>
      <rPr>
        <sz val="11"/>
        <color rgb="FF000000"/>
        <rFont val="Calibri"/>
        <family val="2"/>
        <charset val="1"/>
      </rPr>
      <t>Material em couro, com porta ferramenta</t>
    </r>
  </si>
  <si>
    <r>
      <rPr>
        <b/>
        <sz val="12"/>
        <color rgb="FF000000"/>
        <rFont val="Calibri"/>
        <family val="2"/>
        <charset val="1"/>
      </rPr>
      <t xml:space="preserve">Mosquetão com Fechadura em Alumínio 
</t>
    </r>
    <r>
      <rPr>
        <sz val="11"/>
        <color rgb="FF000000"/>
        <rFont val="Calibri"/>
        <family val="2"/>
        <charset val="1"/>
      </rPr>
      <t>Mosquetão com Fechadura de Parafuso 25KN Clips de Mosquetão Reforçados. Portão aberto: 16mm / 0.6in. Quantidade de peso: 25KN / 2500kg (5511lb)
Tamanho: 100 * 60mm / 3.9 * 2.3i</t>
    </r>
  </si>
  <si>
    <r>
      <rPr>
        <b/>
        <sz val="12"/>
        <color rgb="FF000000"/>
        <rFont val="Calibri"/>
        <family val="2"/>
        <charset val="1"/>
      </rPr>
      <t xml:space="preserve">Trava Quedas Para Corda 12mm
</t>
    </r>
    <r>
      <rPr>
        <sz val="11"/>
        <color rgb="FF000000"/>
        <rFont val="Calibri"/>
        <family val="2"/>
        <charset val="1"/>
      </rPr>
      <t>Abertura de gatilho: 18mm. Material trava-queda: aço carbono. Material prolongador: poliéster. Corda poliamida: 12mm. Resistência: 15KN.</t>
    </r>
  </si>
  <si>
    <r>
      <rPr>
        <b/>
        <sz val="12"/>
        <color rgb="FF000000"/>
        <rFont val="Calibri"/>
        <family val="2"/>
        <charset val="1"/>
      </rPr>
      <t xml:space="preserve">Rolo Corda Nylon 12mm  
</t>
    </r>
    <r>
      <rPr>
        <sz val="12"/>
        <color rgb="FF000000"/>
        <rFont val="Calibri"/>
        <family val="2"/>
        <charset val="1"/>
      </rPr>
      <t>50 metros de corda de nylon tamanho 12mm</t>
    </r>
  </si>
  <si>
    <t>Valor total mensal de EPIs por profissional</t>
  </si>
  <si>
    <t>Serviço de Instalador de Áudio - Pregão Eletrônico nº XXX</t>
  </si>
  <si>
    <t>Deslocamento</t>
  </si>
  <si>
    <t>Despesas</t>
  </si>
  <si>
    <t>Qtd. prevista</t>
  </si>
  <si>
    <t>Valor total</t>
  </si>
  <si>
    <t>Passagem de ônibus intermunicipal (ida e volta)</t>
  </si>
  <si>
    <t>Pernoite em hotel (preço médio)</t>
  </si>
  <si>
    <t>Alimentação (preço médio equivalente a 2 refeições)</t>
  </si>
  <si>
    <t>Subtotal anual</t>
  </si>
  <si>
    <t>Despesas administrativas e lucro</t>
  </si>
  <si>
    <t>Tributação sobre faturamento</t>
  </si>
  <si>
    <t>Despesas adm.</t>
  </si>
  <si>
    <t>I.S.S.</t>
  </si>
  <si>
    <t>PIS</t>
  </si>
  <si>
    <t>Total despesas</t>
  </si>
  <si>
    <t>COFINS</t>
  </si>
  <si>
    <t>Base para tributação</t>
  </si>
  <si>
    <t>Total tributação</t>
  </si>
  <si>
    <t>Custo máximo anual previsto para Deslocamento</t>
  </si>
  <si>
    <t>Custo mensal previsto para Deslocamento (máximo anual/12)</t>
  </si>
  <si>
    <t>Passagem de ônibus municipal (equivalente a 4 passagens por dia)</t>
  </si>
  <si>
    <t>Valor por viagem</t>
  </si>
  <si>
    <t>ANEXO III - PLANILHA DE CUSTOS E FORMAÇÃO DE PREÇOS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</si>
</sst>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&quot;R$ &quot;* #,##0.00_-;&quot;-R$ &quot;* #,##0.00_-;_-&quot;R$ &quot;* \-??_-;_-@_-"/>
    <numFmt numFmtId="165" formatCode="_-&quot;R$&quot;* #,##0.00_-;&quot;-R$&quot;* #,##0.00_-;_-&quot;R$&quot;* \-??_-;_-@_-"/>
    <numFmt numFmtId="166" formatCode="_(* #,##0.00_);_(* \(#,##0.00\);_(* \-??_);_(@_)"/>
    <numFmt numFmtId="167" formatCode="_-* #,##0.00_-;\-* #,##0.00_-;_-* \-??_-;_-@_-"/>
    <numFmt numFmtId="168" formatCode="[$R$-416]\ #,##0.00;[Red]\-[$R$-416]\ #,##0.00"/>
    <numFmt numFmtId="169" formatCode="&quot;R$&quot;#,##0.00"/>
    <numFmt numFmtId="170" formatCode="d/m/yyyy"/>
    <numFmt numFmtId="171" formatCode="&quot;R$ &quot;#,##0.00"/>
    <numFmt numFmtId="172" formatCode="0.00000"/>
    <numFmt numFmtId="173" formatCode="0.000"/>
  </numFmts>
  <fonts count="19"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sz val="12"/>
      <color rgb="FF000000"/>
      <name val="Calibri"/>
      <family val="2"/>
      <charset val="1"/>
    </font>
    <font>
      <b/>
      <sz val="12"/>
      <name val="Calibri"/>
      <family val="2"/>
      <charset val="1"/>
    </font>
    <font>
      <sz val="12"/>
      <name val="Calibri"/>
      <family val="2"/>
      <charset val="1"/>
    </font>
    <font>
      <sz val="12"/>
      <color rgb="FFFF0000"/>
      <name val="Calibri"/>
      <family val="2"/>
      <charset val="1"/>
    </font>
    <font>
      <b/>
      <sz val="11"/>
      <name val="Calibri"/>
      <family val="2"/>
      <charset val="1"/>
    </font>
    <font>
      <sz val="11"/>
      <name val="Calibri"/>
      <family val="2"/>
      <charset val="1"/>
    </font>
    <font>
      <sz val="10"/>
      <color rgb="FF000000"/>
      <name val="Arial"/>
      <family val="2"/>
      <charset val="1"/>
    </font>
    <font>
      <b/>
      <sz val="11"/>
      <color rgb="FF000000"/>
      <name val="Calibri"/>
      <family val="2"/>
      <charset val="1"/>
    </font>
    <font>
      <sz val="11"/>
      <color rgb="FFFF0000"/>
      <name val="Calibri"/>
      <family val="2"/>
      <charset val="1"/>
    </font>
    <font>
      <sz val="9.5"/>
      <name val="ArialMT"/>
      <charset val="1"/>
    </font>
    <font>
      <sz val="1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2"/>
      <name val="Calibri"/>
      <family val="1"/>
      <charset val="1"/>
    </font>
    <font>
      <sz val="12"/>
      <color rgb="FF000000"/>
      <name val="Calibri"/>
      <family val="1"/>
      <charset val="1"/>
    </font>
    <font>
      <b/>
      <sz val="10"/>
      <name val="Arial"/>
      <family val="2"/>
      <charset val="1"/>
    </font>
    <font>
      <b/>
      <sz val="10"/>
      <color rgb="FF000000"/>
      <name val="Arial"/>
      <family val="2"/>
      <charset val="1"/>
    </font>
    <font>
      <sz val="11"/>
      <color rgb="FF000000"/>
      <name val="Calibri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9D9D9"/>
        <bgColor rgb="FFC5E0B4"/>
      </patternFill>
    </fill>
    <fill>
      <patternFill patternType="solid">
        <fgColor rgb="FFBFBFBF"/>
        <bgColor rgb="FFC3D69B"/>
      </patternFill>
    </fill>
    <fill>
      <patternFill patternType="solid">
        <fgColor rgb="FFC3D69B"/>
        <bgColor rgb="FFC5E0B4"/>
      </patternFill>
    </fill>
    <fill>
      <patternFill patternType="solid">
        <fgColor rgb="FFC5E0B4"/>
        <bgColor rgb="FFC3D69B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16">
    <xf numFmtId="0" fontId="0" fillId="0" borderId="0"/>
    <xf numFmtId="164" fontId="18" fillId="0" borderId="0" applyBorder="0" applyProtection="0"/>
    <xf numFmtId="165" fontId="18" fillId="0" borderId="0" applyBorder="0" applyProtection="0"/>
    <xf numFmtId="0" fontId="18" fillId="0" borderId="0"/>
    <xf numFmtId="0" fontId="18" fillId="0" borderId="0"/>
    <xf numFmtId="0" fontId="18" fillId="0" borderId="0"/>
    <xf numFmtId="9" fontId="18" fillId="0" borderId="0" applyBorder="0" applyProtection="0"/>
    <xf numFmtId="166" fontId="1" fillId="0" borderId="0" applyBorder="0" applyProtection="0"/>
    <xf numFmtId="167" fontId="18" fillId="0" borderId="0" applyBorder="0" applyProtection="0"/>
    <xf numFmtId="167" fontId="18" fillId="0" borderId="0" applyBorder="0" applyProtection="0"/>
    <xf numFmtId="167" fontId="18" fillId="0" borderId="0" applyBorder="0" applyProtection="0"/>
    <xf numFmtId="167" fontId="18" fillId="0" borderId="0" applyBorder="0" applyProtection="0"/>
    <xf numFmtId="167" fontId="18" fillId="0" borderId="0" applyBorder="0" applyProtection="0"/>
    <xf numFmtId="167" fontId="18" fillId="0" borderId="0" applyBorder="0" applyProtection="0"/>
    <xf numFmtId="167" fontId="18" fillId="0" borderId="0" applyBorder="0" applyProtection="0"/>
    <xf numFmtId="167" fontId="18" fillId="0" borderId="0" applyBorder="0" applyProtection="0"/>
  </cellStyleXfs>
  <cellXfs count="154">
    <xf numFmtId="0" fontId="0" fillId="0" borderId="0" xfId="0"/>
    <xf numFmtId="0" fontId="0" fillId="0" borderId="0" xfId="0" applyAlignment="1" applyProtection="1">
      <alignment vertical="center"/>
    </xf>
    <xf numFmtId="0" fontId="0" fillId="2" borderId="0" xfId="0" applyFill="1" applyAlignment="1" applyProtection="1">
      <alignment vertical="center"/>
    </xf>
    <xf numFmtId="0" fontId="2" fillId="2" borderId="0" xfId="5" applyFont="1" applyFill="1" applyAlignment="1" applyProtection="1">
      <alignment vertical="center"/>
    </xf>
    <xf numFmtId="0" fontId="4" fillId="2" borderId="0" xfId="5" applyFont="1" applyFill="1" applyAlignment="1" applyProtection="1">
      <alignment horizontal="center" vertical="center"/>
    </xf>
    <xf numFmtId="0" fontId="6" fillId="3" borderId="1" xfId="0" applyFont="1" applyFill="1" applyBorder="1" applyAlignment="1" applyProtection="1">
      <alignment horizontal="center" vertical="center" wrapText="1"/>
    </xf>
    <xf numFmtId="168" fontId="6" fillId="3" borderId="1" xfId="2" applyNumberFormat="1" applyFont="1" applyFill="1" applyBorder="1" applyAlignment="1" applyProtection="1">
      <alignment horizontal="center" vertical="center" wrapText="1"/>
    </xf>
    <xf numFmtId="168" fontId="6" fillId="3" borderId="1" xfId="0" applyNumberFormat="1" applyFont="1" applyFill="1" applyBorder="1" applyAlignment="1" applyProtection="1">
      <alignment horizontal="center" vertical="center" wrapText="1"/>
    </xf>
    <xf numFmtId="0" fontId="0" fillId="2" borderId="0" xfId="0" applyFill="1" applyAlignment="1" applyProtection="1">
      <alignment horizontal="center" vertical="center"/>
    </xf>
    <xf numFmtId="0" fontId="0" fillId="2" borderId="1" xfId="5" applyFont="1" applyFill="1" applyBorder="1" applyAlignment="1" applyProtection="1">
      <alignment horizontal="center" vertical="center"/>
    </xf>
    <xf numFmtId="0" fontId="7" fillId="2" borderId="1" xfId="5" applyFont="1" applyFill="1" applyBorder="1" applyAlignment="1" applyProtection="1">
      <alignment horizontal="left" vertical="center"/>
    </xf>
    <xf numFmtId="169" fontId="0" fillId="2" borderId="1" xfId="5" applyNumberFormat="1" applyFont="1" applyFill="1" applyBorder="1" applyAlignment="1" applyProtection="1">
      <alignment horizontal="center" vertical="center"/>
    </xf>
    <xf numFmtId="0" fontId="0" fillId="3" borderId="1" xfId="5" applyFont="1" applyFill="1" applyBorder="1" applyAlignment="1" applyProtection="1">
      <alignment horizontal="center" vertical="center"/>
    </xf>
    <xf numFmtId="169" fontId="0" fillId="3" borderId="1" xfId="0" applyNumberFormat="1" applyFont="1" applyFill="1" applyBorder="1" applyAlignment="1" applyProtection="1">
      <alignment horizontal="center" vertical="center"/>
    </xf>
    <xf numFmtId="0" fontId="0" fillId="2" borderId="0" xfId="0" applyFill="1" applyBorder="1" applyAlignment="1" applyProtection="1">
      <alignment vertical="center"/>
    </xf>
    <xf numFmtId="0" fontId="0" fillId="2" borderId="0" xfId="5" applyFont="1" applyFill="1" applyBorder="1" applyAlignment="1" applyProtection="1">
      <alignment horizontal="center" vertical="center"/>
    </xf>
    <xf numFmtId="169" fontId="0" fillId="2" borderId="0" xfId="0" applyNumberFormat="1" applyFont="1" applyFill="1" applyBorder="1" applyAlignment="1" applyProtection="1">
      <alignment horizontal="center" vertical="center"/>
    </xf>
    <xf numFmtId="169" fontId="0" fillId="2" borderId="1" xfId="0" applyNumberFormat="1" applyFont="1" applyFill="1" applyBorder="1" applyAlignment="1" applyProtection="1">
      <alignment horizontal="center" vertical="center"/>
    </xf>
    <xf numFmtId="0" fontId="0" fillId="2" borderId="1" xfId="5" applyFont="1" applyFill="1" applyBorder="1" applyAlignment="1" applyProtection="1">
      <alignment horizontal="center" vertical="center" wrapText="1"/>
    </xf>
    <xf numFmtId="169" fontId="7" fillId="2" borderId="1" xfId="0" applyNumberFormat="1" applyFont="1" applyFill="1" applyBorder="1" applyAlignment="1" applyProtection="1">
      <alignment horizontal="center" vertical="center"/>
    </xf>
    <xf numFmtId="169" fontId="9" fillId="3" borderId="1" xfId="0" applyNumberFormat="1" applyFont="1" applyFill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</xf>
    <xf numFmtId="0" fontId="0" fillId="2" borderId="0" xfId="0" applyFont="1" applyFill="1" applyAlignment="1" applyProtection="1">
      <alignment vertical="center"/>
    </xf>
    <xf numFmtId="0" fontId="7" fillId="2" borderId="0" xfId="5" applyFont="1" applyFill="1" applyAlignment="1" applyProtection="1">
      <alignment horizontal="center" vertical="center"/>
    </xf>
    <xf numFmtId="0" fontId="7" fillId="2" borderId="1" xfId="5" applyFont="1" applyFill="1" applyBorder="1" applyAlignment="1" applyProtection="1">
      <alignment horizontal="center" vertical="center" wrapText="1"/>
    </xf>
    <xf numFmtId="0" fontId="7" fillId="2" borderId="1" xfId="5" applyFont="1" applyFill="1" applyBorder="1" applyAlignment="1" applyProtection="1">
      <alignment vertical="center" wrapText="1"/>
    </xf>
    <xf numFmtId="0" fontId="7" fillId="2" borderId="0" xfId="5" applyFont="1" applyFill="1" applyBorder="1" applyAlignment="1" applyProtection="1">
      <alignment horizontal="center" vertical="center" wrapText="1"/>
    </xf>
    <xf numFmtId="0" fontId="7" fillId="2" borderId="0" xfId="5" applyFont="1" applyFill="1" applyBorder="1" applyAlignment="1" applyProtection="1">
      <alignment vertical="center" wrapText="1"/>
    </xf>
    <xf numFmtId="0" fontId="0" fillId="2" borderId="2" xfId="0" applyFont="1" applyFill="1" applyBorder="1" applyAlignment="1" applyProtection="1">
      <alignment vertical="center"/>
    </xf>
    <xf numFmtId="0" fontId="9" fillId="2" borderId="3" xfId="0" applyFont="1" applyFill="1" applyBorder="1" applyAlignment="1" applyProtection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center" wrapText="1"/>
    </xf>
    <xf numFmtId="0" fontId="0" fillId="2" borderId="1" xfId="0" applyFont="1" applyFill="1" applyBorder="1" applyAlignment="1" applyProtection="1">
      <alignment horizontal="center" vertical="center" wrapText="1"/>
    </xf>
    <xf numFmtId="0" fontId="0" fillId="2" borderId="4" xfId="0" applyFont="1" applyFill="1" applyBorder="1" applyAlignment="1" applyProtection="1">
      <alignment horizontal="left" vertical="center" wrapText="1"/>
    </xf>
    <xf numFmtId="169" fontId="0" fillId="2" borderId="1" xfId="0" applyNumberFormat="1" applyFont="1" applyFill="1" applyBorder="1" applyAlignment="1" applyProtection="1">
      <alignment horizontal="right" vertical="center" wrapText="1"/>
    </xf>
    <xf numFmtId="9" fontId="0" fillId="2" borderId="4" xfId="0" applyNumberFormat="1" applyFont="1" applyFill="1" applyBorder="1" applyAlignment="1" applyProtection="1">
      <alignment horizontal="center" vertical="center" wrapText="1"/>
    </xf>
    <xf numFmtId="169" fontId="9" fillId="2" borderId="1" xfId="0" applyNumberFormat="1" applyFont="1" applyFill="1" applyBorder="1" applyAlignment="1" applyProtection="1">
      <alignment horizontal="right" vertical="center" wrapText="1"/>
    </xf>
    <xf numFmtId="0" fontId="9" fillId="2" borderId="0" xfId="0" applyFont="1" applyFill="1" applyAlignment="1" applyProtection="1">
      <alignment vertical="center"/>
    </xf>
    <xf numFmtId="0" fontId="9" fillId="3" borderId="0" xfId="0" applyFont="1" applyFill="1" applyBorder="1" applyAlignment="1" applyProtection="1">
      <alignment horizontal="left" vertical="center"/>
    </xf>
    <xf numFmtId="0" fontId="0" fillId="2" borderId="1" xfId="0" applyFont="1" applyFill="1" applyBorder="1" applyAlignment="1" applyProtection="1">
      <alignment horizontal="left" vertical="center" wrapText="1"/>
    </xf>
    <xf numFmtId="0" fontId="9" fillId="2" borderId="0" xfId="0" applyFont="1" applyFill="1" applyBorder="1" applyAlignment="1" applyProtection="1">
      <alignment horizontal="center" vertical="center" wrapText="1"/>
    </xf>
    <xf numFmtId="169" fontId="0" fillId="2" borderId="0" xfId="0" applyNumberFormat="1" applyFont="1" applyFill="1" applyBorder="1" applyAlignment="1" applyProtection="1">
      <alignment horizontal="right" vertical="center" wrapText="1"/>
    </xf>
    <xf numFmtId="169" fontId="9" fillId="0" borderId="1" xfId="5" applyNumberFormat="1" applyFont="1" applyBorder="1" applyAlignment="1" applyProtection="1">
      <alignment vertical="center"/>
    </xf>
    <xf numFmtId="10" fontId="0" fillId="2" borderId="1" xfId="0" applyNumberFormat="1" applyFont="1" applyFill="1" applyBorder="1" applyAlignment="1" applyProtection="1">
      <alignment horizontal="center" vertical="center" wrapText="1"/>
    </xf>
    <xf numFmtId="10" fontId="9" fillId="2" borderId="1" xfId="0" applyNumberFormat="1" applyFont="1" applyFill="1" applyBorder="1" applyAlignment="1" applyProtection="1">
      <alignment horizontal="center" vertical="center" wrapText="1"/>
    </xf>
    <xf numFmtId="171" fontId="0" fillId="0" borderId="0" xfId="0" applyNumberFormat="1" applyFont="1" applyAlignment="1" applyProtection="1">
      <alignment vertical="center"/>
    </xf>
    <xf numFmtId="0" fontId="9" fillId="2" borderId="5" xfId="0" applyFont="1" applyFill="1" applyBorder="1" applyAlignment="1" applyProtection="1">
      <alignment horizontal="center" vertical="center" wrapText="1"/>
    </xf>
    <xf numFmtId="0" fontId="0" fillId="2" borderId="3" xfId="0" applyFont="1" applyFill="1" applyBorder="1" applyAlignment="1" applyProtection="1">
      <alignment vertical="center" wrapText="1"/>
    </xf>
    <xf numFmtId="3" fontId="0" fillId="2" borderId="1" xfId="0" applyNumberFormat="1" applyFont="1" applyFill="1" applyBorder="1" applyAlignment="1" applyProtection="1">
      <alignment horizontal="center" vertical="center" wrapText="1"/>
    </xf>
    <xf numFmtId="169" fontId="0" fillId="0" borderId="4" xfId="5" applyNumberFormat="1" applyFont="1" applyBorder="1" applyAlignment="1" applyProtection="1">
      <alignment horizontal="right" vertical="center" wrapText="1"/>
    </xf>
    <xf numFmtId="0" fontId="0" fillId="2" borderId="6" xfId="0" applyFont="1" applyFill="1" applyBorder="1" applyAlignment="1" applyProtection="1">
      <alignment horizontal="left" vertical="center" wrapText="1"/>
    </xf>
    <xf numFmtId="172" fontId="7" fillId="2" borderId="4" xfId="0" applyNumberFormat="1" applyFont="1" applyFill="1" applyBorder="1" applyAlignment="1" applyProtection="1">
      <alignment horizontal="center" vertical="center" wrapText="1"/>
    </xf>
    <xf numFmtId="169" fontId="7" fillId="2" borderId="1" xfId="0" applyNumberFormat="1" applyFont="1" applyFill="1" applyBorder="1" applyAlignment="1" applyProtection="1">
      <alignment horizontal="right" vertical="center" wrapText="1"/>
    </xf>
    <xf numFmtId="172" fontId="0" fillId="2" borderId="4" xfId="0" applyNumberFormat="1" applyFont="1" applyFill="1" applyBorder="1" applyAlignment="1" applyProtection="1">
      <alignment horizontal="center" vertical="center" wrapText="1"/>
    </xf>
    <xf numFmtId="169" fontId="8" fillId="2" borderId="1" xfId="0" applyNumberFormat="1" applyFont="1" applyFill="1" applyBorder="1" applyAlignment="1" applyProtection="1">
      <alignment horizontal="right" vertical="center" wrapText="1"/>
    </xf>
    <xf numFmtId="169" fontId="0" fillId="0" borderId="1" xfId="5" applyNumberFormat="1" applyFont="1" applyBorder="1" applyAlignment="1" applyProtection="1">
      <alignment horizontal="right" vertical="center" wrapText="1"/>
    </xf>
    <xf numFmtId="0" fontId="9" fillId="0" borderId="1" xfId="5" applyFont="1" applyBorder="1" applyAlignment="1" applyProtection="1">
      <alignment horizontal="center" vertical="center" wrapText="1"/>
    </xf>
    <xf numFmtId="10" fontId="0" fillId="0" borderId="1" xfId="5" applyNumberFormat="1" applyFont="1" applyBorder="1" applyAlignment="1" applyProtection="1">
      <alignment horizontal="center" vertical="center" wrapText="1"/>
    </xf>
    <xf numFmtId="0" fontId="9" fillId="2" borderId="4" xfId="0" applyFont="1" applyFill="1" applyBorder="1" applyAlignment="1" applyProtection="1">
      <alignment horizontal="center" vertical="center" wrapText="1"/>
    </xf>
    <xf numFmtId="0" fontId="0" fillId="0" borderId="1" xfId="5" applyFont="1" applyBorder="1" applyAlignment="1" applyProtection="1">
      <alignment horizontal="center" vertical="center" wrapText="1"/>
    </xf>
    <xf numFmtId="169" fontId="0" fillId="2" borderId="1" xfId="0" applyNumberFormat="1" applyFont="1" applyFill="1" applyBorder="1" applyAlignment="1" applyProtection="1">
      <alignment horizontal="right" vertical="center"/>
    </xf>
    <xf numFmtId="10" fontId="9" fillId="0" borderId="1" xfId="5" applyNumberFormat="1" applyFont="1" applyBorder="1" applyAlignment="1" applyProtection="1">
      <alignment horizontal="center" vertical="center" wrapText="1"/>
    </xf>
    <xf numFmtId="169" fontId="9" fillId="2" borderId="1" xfId="0" applyNumberFormat="1" applyFont="1" applyFill="1" applyBorder="1" applyAlignment="1" applyProtection="1">
      <alignment horizontal="right" vertical="center"/>
    </xf>
    <xf numFmtId="10" fontId="0" fillId="2" borderId="1" xfId="5" applyNumberFormat="1" applyFont="1" applyFill="1" applyBorder="1" applyAlignment="1" applyProtection="1">
      <alignment horizontal="center" vertical="center" wrapText="1"/>
    </xf>
    <xf numFmtId="0" fontId="0" fillId="3" borderId="0" xfId="0" applyFont="1" applyFill="1" applyAlignment="1" applyProtection="1">
      <alignment vertical="center"/>
    </xf>
    <xf numFmtId="169" fontId="7" fillId="0" borderId="1" xfId="5" applyNumberFormat="1" applyFont="1" applyBorder="1" applyAlignment="1" applyProtection="1">
      <alignment vertical="center"/>
    </xf>
    <xf numFmtId="10" fontId="0" fillId="2" borderId="1" xfId="6" applyNumberFormat="1" applyFont="1" applyFill="1" applyBorder="1" applyAlignment="1" applyProtection="1">
      <alignment horizontal="center" vertical="center"/>
    </xf>
    <xf numFmtId="169" fontId="0" fillId="2" borderId="1" xfId="5" applyNumberFormat="1" applyFont="1" applyFill="1" applyBorder="1" applyAlignment="1" applyProtection="1">
      <alignment horizontal="right" vertical="center" wrapText="1"/>
    </xf>
    <xf numFmtId="10" fontId="0" fillId="0" borderId="1" xfId="6" applyNumberFormat="1" applyFont="1" applyBorder="1" applyAlignment="1" applyProtection="1">
      <alignment horizontal="center" vertical="center"/>
    </xf>
    <xf numFmtId="10" fontId="7" fillId="0" borderId="1" xfId="6" applyNumberFormat="1" applyFont="1" applyBorder="1" applyAlignment="1" applyProtection="1">
      <alignment horizontal="center" vertical="center"/>
    </xf>
    <xf numFmtId="0" fontId="2" fillId="2" borderId="0" xfId="5" applyFont="1" applyFill="1" applyAlignment="1" applyProtection="1"/>
    <xf numFmtId="0" fontId="4" fillId="2" borderId="0" xfId="5" applyFont="1" applyFill="1" applyBorder="1" applyAlignment="1" applyProtection="1">
      <alignment horizontal="center"/>
    </xf>
    <xf numFmtId="0" fontId="4" fillId="2" borderId="0" xfId="5" applyFont="1" applyFill="1" applyAlignment="1" applyProtection="1">
      <alignment horizontal="center"/>
    </xf>
    <xf numFmtId="0" fontId="13" fillId="2" borderId="1" xfId="5" applyFont="1" applyFill="1" applyBorder="1" applyAlignment="1" applyProtection="1">
      <alignment horizontal="center" vertical="center" wrapText="1"/>
    </xf>
    <xf numFmtId="0" fontId="13" fillId="2" borderId="4" xfId="5" applyFont="1" applyFill="1" applyBorder="1" applyAlignment="1" applyProtection="1">
      <alignment horizontal="center" vertical="center" wrapText="1"/>
    </xf>
    <xf numFmtId="0" fontId="2" fillId="2" borderId="1" xfId="5" applyFont="1" applyFill="1" applyBorder="1" applyAlignment="1" applyProtection="1">
      <alignment horizontal="center" vertical="center" wrapText="1"/>
    </xf>
    <xf numFmtId="0" fontId="2" fillId="2" borderId="1" xfId="5" applyFont="1" applyFill="1" applyBorder="1" applyAlignment="1" applyProtection="1">
      <alignment vertical="center" wrapText="1"/>
    </xf>
    <xf numFmtId="0" fontId="2" fillId="2" borderId="4" xfId="5" applyFont="1" applyFill="1" applyBorder="1" applyAlignment="1" applyProtection="1">
      <alignment horizontal="center" vertical="center" wrapText="1"/>
    </xf>
    <xf numFmtId="168" fontId="2" fillId="5" borderId="4" xfId="5" applyNumberFormat="1" applyFont="1" applyFill="1" applyBorder="1" applyAlignment="1" applyProtection="1">
      <alignment vertical="center" wrapText="1"/>
    </xf>
    <xf numFmtId="169" fontId="2" fillId="2" borderId="4" xfId="5" applyNumberFormat="1" applyFont="1" applyFill="1" applyBorder="1" applyAlignment="1" applyProtection="1">
      <alignment vertical="center" wrapText="1"/>
    </xf>
    <xf numFmtId="169" fontId="2" fillId="2" borderId="1" xfId="5" applyNumberFormat="1" applyFont="1" applyFill="1" applyBorder="1" applyAlignment="1" applyProtection="1">
      <alignment vertical="center"/>
    </xf>
    <xf numFmtId="169" fontId="13" fillId="3" borderId="1" xfId="5" applyNumberFormat="1" applyFont="1" applyFill="1" applyBorder="1" applyAlignment="1" applyProtection="1"/>
    <xf numFmtId="0" fontId="13" fillId="0" borderId="1" xfId="5" applyFont="1" applyBorder="1" applyAlignment="1" applyProtection="1">
      <alignment vertical="center" wrapText="1"/>
    </xf>
    <xf numFmtId="0" fontId="2" fillId="0" borderId="4" xfId="5" applyFont="1" applyBorder="1" applyAlignment="1" applyProtection="1">
      <alignment horizontal="center" vertical="center" wrapText="1"/>
    </xf>
    <xf numFmtId="0" fontId="13" fillId="2" borderId="1" xfId="5" applyFont="1" applyFill="1" applyBorder="1" applyAlignment="1" applyProtection="1">
      <alignment vertical="center" wrapText="1"/>
    </xf>
    <xf numFmtId="168" fontId="4" fillId="5" borderId="4" xfId="5" applyNumberFormat="1" applyFont="1" applyFill="1" applyBorder="1" applyAlignment="1" applyProtection="1">
      <alignment vertical="center" wrapText="1"/>
    </xf>
    <xf numFmtId="3" fontId="2" fillId="0" borderId="4" xfId="5" applyNumberFormat="1" applyFont="1" applyBorder="1" applyAlignment="1" applyProtection="1">
      <alignment horizontal="center" vertical="center" wrapText="1"/>
    </xf>
    <xf numFmtId="0" fontId="14" fillId="0" borderId="4" xfId="5" applyFont="1" applyBorder="1" applyAlignment="1" applyProtection="1">
      <alignment horizontal="center" vertical="center" wrapText="1"/>
    </xf>
    <xf numFmtId="173" fontId="2" fillId="0" borderId="4" xfId="5" applyNumberFormat="1" applyFont="1" applyBorder="1" applyAlignment="1" applyProtection="1">
      <alignment horizontal="center" vertical="center" wrapText="1"/>
    </xf>
    <xf numFmtId="0" fontId="15" fillId="0" borderId="4" xfId="5" applyFont="1" applyBorder="1" applyAlignment="1" applyProtection="1">
      <alignment horizontal="center" vertical="center" wrapText="1"/>
    </xf>
    <xf numFmtId="0" fontId="0" fillId="2" borderId="0" xfId="0" applyFill="1" applyAlignment="1" applyProtection="1"/>
    <xf numFmtId="0" fontId="0" fillId="2" borderId="0" xfId="0" applyFill="1"/>
    <xf numFmtId="0" fontId="0" fillId="2" borderId="0" xfId="0" applyFill="1" applyBorder="1" applyAlignment="1" applyProtection="1">
      <alignment horizontal="center"/>
    </xf>
    <xf numFmtId="0" fontId="16" fillId="2" borderId="1" xfId="3" applyFont="1" applyFill="1" applyBorder="1" applyAlignment="1" applyProtection="1">
      <alignment horizontal="center" vertical="center"/>
    </xf>
    <xf numFmtId="0" fontId="1" fillId="2" borderId="1" xfId="3" applyFont="1" applyFill="1" applyBorder="1" applyAlignment="1" applyProtection="1">
      <alignment horizontal="center" vertical="center"/>
    </xf>
    <xf numFmtId="171" fontId="1" fillId="2" borderId="1" xfId="3" applyNumberFormat="1" applyFont="1" applyFill="1" applyBorder="1" applyAlignment="1" applyProtection="1">
      <alignment horizontal="center" vertical="center"/>
    </xf>
    <xf numFmtId="0" fontId="1" fillId="0" borderId="1" xfId="3" applyFont="1" applyBorder="1" applyAlignment="1" applyProtection="1">
      <alignment horizontal="center" vertical="center"/>
    </xf>
    <xf numFmtId="171" fontId="1" fillId="3" borderId="1" xfId="3" applyNumberFormat="1" applyFont="1" applyFill="1" applyBorder="1" applyAlignment="1" applyProtection="1">
      <alignment horizontal="center" vertical="center"/>
    </xf>
    <xf numFmtId="0" fontId="8" fillId="2" borderId="1" xfId="4" applyFont="1" applyFill="1" applyBorder="1" applyAlignment="1" applyProtection="1">
      <alignment horizontal="left" vertical="center" wrapText="1"/>
    </xf>
    <xf numFmtId="10" fontId="1" fillId="6" borderId="1" xfId="4" applyNumberFormat="1" applyFont="1" applyFill="1" applyBorder="1" applyAlignment="1" applyProtection="1">
      <alignment horizontal="center" vertical="center"/>
    </xf>
    <xf numFmtId="171" fontId="8" fillId="2" borderId="1" xfId="1" applyNumberFormat="1" applyFont="1" applyFill="1" applyBorder="1" applyAlignment="1" applyProtection="1">
      <alignment horizontal="center" vertical="center"/>
    </xf>
    <xf numFmtId="0" fontId="8" fillId="2" borderId="3" xfId="4" applyFont="1" applyFill="1" applyBorder="1" applyAlignment="1" applyProtection="1">
      <alignment horizontal="left" vertical="center" wrapText="1"/>
    </xf>
    <xf numFmtId="10" fontId="1" fillId="6" borderId="1" xfId="6" applyNumberFormat="1" applyFont="1" applyFill="1" applyBorder="1" applyAlignment="1" applyProtection="1">
      <alignment horizontal="center" vertical="center" wrapText="1"/>
    </xf>
    <xf numFmtId="171" fontId="8" fillId="2" borderId="4" xfId="4" applyNumberFormat="1" applyFont="1" applyFill="1" applyBorder="1" applyAlignment="1" applyProtection="1">
      <alignment horizontal="center" vertical="center" wrapText="1"/>
    </xf>
    <xf numFmtId="0" fontId="8" fillId="3" borderId="1" xfId="4" applyFont="1" applyFill="1" applyBorder="1" applyAlignment="1" applyProtection="1">
      <alignment horizontal="left" vertical="center" wrapText="1"/>
    </xf>
    <xf numFmtId="10" fontId="8" fillId="3" borderId="1" xfId="4" applyNumberFormat="1" applyFont="1" applyFill="1" applyBorder="1" applyAlignment="1" applyProtection="1">
      <alignment horizontal="center" vertical="center"/>
    </xf>
    <xf numFmtId="171" fontId="8" fillId="3" borderId="1" xfId="4" applyNumberFormat="1" applyFont="1" applyFill="1" applyBorder="1" applyAlignment="1" applyProtection="1">
      <alignment horizontal="center" vertical="center"/>
    </xf>
    <xf numFmtId="171" fontId="1" fillId="2" borderId="5" xfId="3" applyNumberFormat="1" applyFont="1" applyFill="1" applyBorder="1" applyAlignment="1" applyProtection="1">
      <alignment horizontal="center" vertical="center"/>
    </xf>
    <xf numFmtId="0" fontId="8" fillId="3" borderId="8" xfId="4" applyFont="1" applyFill="1" applyBorder="1" applyAlignment="1" applyProtection="1">
      <alignment horizontal="left" vertical="center" wrapText="1"/>
    </xf>
    <xf numFmtId="10" fontId="8" fillId="3" borderId="5" xfId="6" applyNumberFormat="1" applyFont="1" applyFill="1" applyBorder="1" applyAlignment="1" applyProtection="1">
      <alignment horizontal="center" vertical="center"/>
    </xf>
    <xf numFmtId="171" fontId="8" fillId="3" borderId="5" xfId="4" applyNumberFormat="1" applyFont="1" applyFill="1" applyBorder="1" applyAlignment="1" applyProtection="1">
      <alignment horizontal="center" vertical="center"/>
    </xf>
    <xf numFmtId="171" fontId="9" fillId="3" borderId="1" xfId="0" applyNumberFormat="1" applyFont="1" applyFill="1" applyBorder="1" applyAlignment="1" applyProtection="1">
      <alignment horizontal="center"/>
    </xf>
    <xf numFmtId="171" fontId="0" fillId="2" borderId="1" xfId="0" applyNumberFormat="1" applyFont="1" applyFill="1" applyBorder="1" applyAlignment="1" applyProtection="1">
      <alignment horizontal="center"/>
    </xf>
    <xf numFmtId="0" fontId="6" fillId="3" borderId="1" xfId="0" applyFont="1" applyFill="1" applyBorder="1" applyAlignment="1" applyProtection="1">
      <alignment horizontal="center" vertical="center" wrapText="1"/>
    </xf>
    <xf numFmtId="0" fontId="0" fillId="2" borderId="1" xfId="5" applyFont="1" applyFill="1" applyBorder="1" applyAlignment="1" applyProtection="1">
      <alignment horizontal="center" vertical="center"/>
    </xf>
    <xf numFmtId="0" fontId="0" fillId="2" borderId="1" xfId="5" applyFont="1" applyFill="1" applyBorder="1" applyAlignment="1" applyProtection="1">
      <alignment horizontal="center" vertical="center" wrapText="1"/>
    </xf>
    <xf numFmtId="0" fontId="9" fillId="3" borderId="1" xfId="5" applyFont="1" applyFill="1" applyBorder="1" applyAlignment="1" applyProtection="1">
      <alignment horizontal="center" vertical="center"/>
    </xf>
    <xf numFmtId="0" fontId="3" fillId="2" borderId="0" xfId="5" applyFont="1" applyFill="1" applyBorder="1" applyAlignment="1" applyProtection="1">
      <alignment horizontal="center" vertical="center"/>
    </xf>
    <xf numFmtId="0" fontId="4" fillId="2" borderId="0" xfId="5" applyFont="1" applyFill="1" applyBorder="1" applyAlignment="1" applyProtection="1">
      <alignment horizontal="center" vertical="center"/>
    </xf>
    <xf numFmtId="0" fontId="4" fillId="2" borderId="0" xfId="5" applyFont="1" applyFill="1" applyBorder="1" applyAlignment="1" applyProtection="1">
      <alignment horizontal="center" vertical="center" wrapText="1"/>
    </xf>
    <xf numFmtId="0" fontId="0" fillId="3" borderId="1" xfId="5" applyFont="1" applyFill="1" applyBorder="1" applyAlignment="1" applyProtection="1">
      <alignment horizontal="center" vertical="center"/>
    </xf>
    <xf numFmtId="0" fontId="6" fillId="2" borderId="0" xfId="5" applyFont="1" applyFill="1" applyBorder="1" applyAlignment="1" applyProtection="1">
      <alignment horizontal="center" vertical="center"/>
    </xf>
    <xf numFmtId="0" fontId="7" fillId="2" borderId="0" xfId="5" applyFont="1" applyFill="1" applyBorder="1" applyAlignment="1" applyProtection="1">
      <alignment horizontal="center" vertical="center"/>
    </xf>
    <xf numFmtId="0" fontId="7" fillId="2" borderId="1" xfId="5" applyFont="1" applyFill="1" applyBorder="1" applyAlignment="1" applyProtection="1">
      <alignment horizontal="center" vertical="center" wrapText="1"/>
    </xf>
    <xf numFmtId="169" fontId="11" fillId="2" borderId="1" xfId="2" applyNumberFormat="1" applyFont="1" applyFill="1" applyBorder="1" applyAlignment="1" applyProtection="1">
      <alignment horizontal="center" vertical="center" wrapText="1"/>
    </xf>
    <xf numFmtId="0" fontId="12" fillId="2" borderId="1" xfId="5" applyFont="1" applyFill="1" applyBorder="1" applyAlignment="1" applyProtection="1">
      <alignment horizontal="center" vertical="center" wrapText="1"/>
    </xf>
    <xf numFmtId="170" fontId="7" fillId="2" borderId="1" xfId="5" applyNumberFormat="1" applyFont="1" applyFill="1" applyBorder="1" applyAlignment="1" applyProtection="1">
      <alignment horizontal="center" vertical="center" wrapText="1"/>
    </xf>
    <xf numFmtId="0" fontId="9" fillId="4" borderId="0" xfId="0" applyFont="1" applyFill="1" applyBorder="1" applyAlignment="1" applyProtection="1">
      <alignment horizontal="center" vertical="center"/>
    </xf>
    <xf numFmtId="0" fontId="9" fillId="2" borderId="1" xfId="0" applyFont="1" applyFill="1" applyBorder="1" applyAlignment="1" applyProtection="1">
      <alignment horizontal="center" vertical="center" wrapText="1"/>
    </xf>
    <xf numFmtId="0" fontId="0" fillId="2" borderId="3" xfId="0" applyFont="1" applyFill="1" applyBorder="1" applyAlignment="1" applyProtection="1">
      <alignment horizontal="left" vertical="center" wrapText="1"/>
    </xf>
    <xf numFmtId="0" fontId="9" fillId="3" borderId="0" xfId="0" applyFont="1" applyFill="1" applyBorder="1" applyAlignment="1" applyProtection="1">
      <alignment horizontal="left" vertical="center"/>
    </xf>
    <xf numFmtId="0" fontId="0" fillId="2" borderId="1" xfId="0" applyFont="1" applyFill="1" applyBorder="1" applyAlignment="1" applyProtection="1">
      <alignment horizontal="left" vertical="center" wrapText="1"/>
    </xf>
    <xf numFmtId="0" fontId="9" fillId="0" borderId="1" xfId="5" applyFont="1" applyBorder="1" applyAlignment="1" applyProtection="1">
      <alignment horizontal="center" vertical="center"/>
    </xf>
    <xf numFmtId="0" fontId="9" fillId="3" borderId="0" xfId="0" applyFont="1" applyFill="1" applyBorder="1" applyAlignment="1" applyProtection="1">
      <alignment horizontal="left" vertical="center" wrapText="1"/>
    </xf>
    <xf numFmtId="0" fontId="9" fillId="3" borderId="0" xfId="0" applyFont="1" applyFill="1" applyBorder="1" applyAlignment="1" applyProtection="1">
      <alignment horizontal="center" vertical="center"/>
    </xf>
    <xf numFmtId="0" fontId="9" fillId="0" borderId="3" xfId="5" applyFont="1" applyBorder="1" applyAlignment="1" applyProtection="1">
      <alignment horizontal="center" vertical="center" wrapText="1"/>
    </xf>
    <xf numFmtId="0" fontId="0" fillId="0" borderId="3" xfId="5" applyFont="1" applyBorder="1" applyAlignment="1" applyProtection="1">
      <alignment horizontal="left" vertical="center" wrapText="1"/>
    </xf>
    <xf numFmtId="0" fontId="9" fillId="0" borderId="1" xfId="5" applyFont="1" applyBorder="1" applyAlignment="1" applyProtection="1">
      <alignment horizontal="center" vertical="center" wrapText="1"/>
    </xf>
    <xf numFmtId="0" fontId="0" fillId="2" borderId="7" xfId="5" applyFont="1" applyFill="1" applyBorder="1" applyAlignment="1" applyProtection="1">
      <alignment horizontal="left" vertical="center" wrapText="1"/>
    </xf>
    <xf numFmtId="0" fontId="9" fillId="2" borderId="3" xfId="0" applyFont="1" applyFill="1" applyBorder="1" applyAlignment="1" applyProtection="1">
      <alignment horizontal="center" vertical="center" wrapText="1"/>
    </xf>
    <xf numFmtId="0" fontId="13" fillId="3" borderId="1" xfId="5" applyFont="1" applyFill="1" applyBorder="1" applyAlignment="1" applyProtection="1">
      <alignment horizontal="center" vertical="center" wrapText="1"/>
    </xf>
    <xf numFmtId="0" fontId="3" fillId="2" borderId="0" xfId="5" applyFont="1" applyFill="1" applyBorder="1" applyAlignment="1" applyProtection="1">
      <alignment horizontal="center"/>
    </xf>
    <xf numFmtId="0" fontId="4" fillId="2" borderId="0" xfId="5" applyFont="1" applyFill="1" applyBorder="1" applyAlignment="1" applyProtection="1">
      <alignment horizontal="center"/>
    </xf>
    <xf numFmtId="0" fontId="0" fillId="4" borderId="0" xfId="0" applyFont="1" applyFill="1" applyBorder="1" applyAlignment="1" applyProtection="1">
      <alignment horizontal="center"/>
    </xf>
    <xf numFmtId="0" fontId="16" fillId="2" borderId="1" xfId="3" applyFont="1" applyFill="1" applyBorder="1" applyAlignment="1" applyProtection="1">
      <alignment horizontal="center" vertical="center"/>
    </xf>
    <xf numFmtId="0" fontId="1" fillId="2" borderId="1" xfId="3" applyFont="1" applyFill="1" applyBorder="1" applyAlignment="1" applyProtection="1">
      <alignment horizontal="left" vertical="center"/>
    </xf>
    <xf numFmtId="0" fontId="1" fillId="3" borderId="1" xfId="3" applyFont="1" applyFill="1" applyBorder="1" applyAlignment="1" applyProtection="1">
      <alignment horizontal="center" vertical="center"/>
    </xf>
    <xf numFmtId="0" fontId="1" fillId="2" borderId="3" xfId="3" applyFont="1" applyFill="1" applyBorder="1" applyAlignment="1" applyProtection="1">
      <alignment horizontal="left" vertical="center"/>
    </xf>
    <xf numFmtId="0" fontId="1" fillId="2" borderId="7" xfId="3" applyFont="1" applyFill="1" applyBorder="1" applyAlignment="1" applyProtection="1">
      <alignment horizontal="left" vertical="center"/>
    </xf>
    <xf numFmtId="0" fontId="1" fillId="2" borderId="4" xfId="3" applyFont="1" applyFill="1" applyBorder="1" applyAlignment="1" applyProtection="1">
      <alignment horizontal="left" vertical="center"/>
    </xf>
    <xf numFmtId="0" fontId="16" fillId="2" borderId="1" xfId="4" applyFont="1" applyFill="1" applyBorder="1" applyAlignment="1" applyProtection="1">
      <alignment horizontal="center" vertical="center"/>
    </xf>
    <xf numFmtId="0" fontId="17" fillId="2" borderId="1" xfId="4" applyFont="1" applyFill="1" applyBorder="1" applyAlignment="1" applyProtection="1">
      <alignment horizontal="center" vertical="center" wrapText="1"/>
    </xf>
    <xf numFmtId="0" fontId="8" fillId="2" borderId="5" xfId="4" applyFont="1" applyFill="1" applyBorder="1" applyAlignment="1" applyProtection="1">
      <alignment horizontal="left" vertical="center" wrapText="1"/>
    </xf>
    <xf numFmtId="0" fontId="9" fillId="3" borderId="1" xfId="0" applyFont="1" applyFill="1" applyBorder="1" applyAlignment="1" applyProtection="1">
      <alignment horizontal="center"/>
    </xf>
    <xf numFmtId="0" fontId="0" fillId="2" borderId="1" xfId="0" applyFont="1" applyFill="1" applyBorder="1" applyAlignment="1" applyProtection="1">
      <alignment horizontal="center"/>
    </xf>
  </cellXfs>
  <cellStyles count="16">
    <cellStyle name="Moeda 3" xfId="1"/>
    <cellStyle name="Moeda 4" xfId="2"/>
    <cellStyle name="Normal" xfId="0" builtinId="0"/>
    <cellStyle name="Normal 2" xfId="3"/>
    <cellStyle name="Normal 2 2" xfId="4"/>
    <cellStyle name="Normal 4" xfId="5"/>
    <cellStyle name="Porcentagem 2" xfId="6"/>
    <cellStyle name="Vírgula 2" xfId="7"/>
    <cellStyle name="Vírgula 3" xfId="8"/>
    <cellStyle name="Vírgula 3 2" xfId="9"/>
    <cellStyle name="Vírgula 4" xfId="10"/>
    <cellStyle name="Vírgula 4 2" xfId="11"/>
    <cellStyle name="Vírgula 5" xfId="12"/>
    <cellStyle name="Vírgula 5 2" xfId="13"/>
    <cellStyle name="Vírgula 6" xfId="14"/>
    <cellStyle name="Vírgula 7" xfId="1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5E0B4"/>
      <rgbColor rgb="FFFFFF99"/>
      <rgbColor rgb="FF99CCFF"/>
      <rgbColor rgb="FFFF99CC"/>
      <rgbColor rgb="FFCC99FF"/>
      <rgbColor rgb="FFC3D69B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7"/>
  <sheetViews>
    <sheetView tabSelected="1" zoomScaleNormal="100" workbookViewId="0">
      <selection activeCell="B2" sqref="B2:G2"/>
    </sheetView>
  </sheetViews>
  <sheetFormatPr defaultColWidth="9.140625" defaultRowHeight="15"/>
  <cols>
    <col min="1" max="1" width="3.140625" style="1" customWidth="1"/>
    <col min="2" max="2" width="7.42578125" style="1" customWidth="1"/>
    <col min="3" max="3" width="15.7109375" style="1" customWidth="1"/>
    <col min="4" max="4" width="51.42578125" style="1" customWidth="1"/>
    <col min="5" max="7" width="15.7109375" style="1" customWidth="1"/>
    <col min="8" max="8" width="3.140625" style="1" customWidth="1"/>
    <col min="9" max="16384" width="9.140625" style="1"/>
  </cols>
  <sheetData>
    <row r="1" spans="1:8" ht="15.75">
      <c r="A1" s="2"/>
      <c r="B1" s="3" t="s">
        <v>187</v>
      </c>
      <c r="C1" s="3"/>
      <c r="D1" s="3"/>
      <c r="E1" s="3"/>
      <c r="F1" s="3"/>
      <c r="G1" s="2"/>
      <c r="H1" s="2"/>
    </row>
    <row r="2" spans="1:8" ht="15.75">
      <c r="A2" s="2"/>
      <c r="B2" s="116" t="s">
        <v>0</v>
      </c>
      <c r="C2" s="116"/>
      <c r="D2" s="116"/>
      <c r="E2" s="116"/>
      <c r="F2" s="116"/>
      <c r="G2" s="116"/>
      <c r="H2" s="2"/>
    </row>
    <row r="3" spans="1:8" ht="15.75">
      <c r="A3" s="2"/>
      <c r="B3" s="116" t="s">
        <v>1</v>
      </c>
      <c r="C3" s="116"/>
      <c r="D3" s="116"/>
      <c r="E3" s="116"/>
      <c r="F3" s="116"/>
      <c r="G3" s="116"/>
      <c r="H3" s="2"/>
    </row>
    <row r="4" spans="1:8" ht="15.75">
      <c r="A4" s="2"/>
      <c r="B4" s="117" t="s">
        <v>2</v>
      </c>
      <c r="C4" s="117"/>
      <c r="D4" s="117"/>
      <c r="E4" s="117"/>
      <c r="F4" s="117"/>
      <c r="G4" s="117"/>
      <c r="H4" s="2"/>
    </row>
    <row r="5" spans="1:8" ht="15.75">
      <c r="A5" s="2"/>
      <c r="B5" s="4"/>
      <c r="C5" s="4"/>
      <c r="D5" s="4"/>
      <c r="E5" s="4"/>
      <c r="F5" s="4"/>
      <c r="G5" s="2"/>
      <c r="H5" s="2"/>
    </row>
    <row r="6" spans="1:8" ht="15" customHeight="1">
      <c r="A6" s="2"/>
      <c r="B6" s="118" t="s">
        <v>3</v>
      </c>
      <c r="C6" s="118"/>
      <c r="D6" s="118"/>
      <c r="E6" s="118"/>
      <c r="F6" s="118"/>
      <c r="G6" s="118"/>
      <c r="H6" s="2"/>
    </row>
    <row r="7" spans="1:8" ht="15.75">
      <c r="A7" s="2"/>
      <c r="B7" s="4"/>
      <c r="C7" s="4"/>
      <c r="D7" s="4"/>
      <c r="E7" s="4"/>
      <c r="F7" s="4"/>
      <c r="G7" s="2"/>
      <c r="H7" s="2"/>
    </row>
    <row r="8" spans="1:8" ht="29.25" customHeight="1">
      <c r="A8" s="2"/>
      <c r="B8" s="5" t="s">
        <v>4</v>
      </c>
      <c r="C8" s="5" t="s">
        <v>5</v>
      </c>
      <c r="D8" s="5" t="s">
        <v>6</v>
      </c>
      <c r="E8" s="6" t="s">
        <v>7</v>
      </c>
      <c r="F8" s="5" t="s">
        <v>8</v>
      </c>
      <c r="G8" s="7" t="s">
        <v>9</v>
      </c>
      <c r="H8" s="2"/>
    </row>
    <row r="9" spans="1:8" ht="29.25" customHeight="1">
      <c r="A9" s="8"/>
      <c r="B9" s="9">
        <v>1</v>
      </c>
      <c r="C9" s="9" t="s">
        <v>10</v>
      </c>
      <c r="D9" s="10" t="s">
        <v>11</v>
      </c>
      <c r="E9" s="11">
        <f>'Instalador de áudio'!F151</f>
        <v>6264.47</v>
      </c>
      <c r="F9" s="9">
        <v>1</v>
      </c>
      <c r="G9" s="11">
        <f>E9*F9</f>
        <v>6264.47</v>
      </c>
      <c r="H9" s="8"/>
    </row>
    <row r="10" spans="1:8" ht="29.25" customHeight="1">
      <c r="A10" s="2"/>
      <c r="B10" s="119" t="s">
        <v>12</v>
      </c>
      <c r="C10" s="119"/>
      <c r="D10" s="119"/>
      <c r="E10" s="119"/>
      <c r="F10" s="12">
        <f>SUM(F9:F9)</f>
        <v>1</v>
      </c>
      <c r="G10" s="13">
        <f>SUM(G9:G9)</f>
        <v>6264.47</v>
      </c>
      <c r="H10" s="2"/>
    </row>
    <row r="11" spans="1:8" ht="29.25" customHeight="1">
      <c r="A11" s="14"/>
      <c r="B11" s="15"/>
      <c r="C11" s="15"/>
      <c r="D11" s="15"/>
      <c r="E11" s="15"/>
      <c r="F11" s="15"/>
      <c r="G11" s="16"/>
      <c r="H11" s="14"/>
    </row>
    <row r="12" spans="1:8" ht="29.25" customHeight="1">
      <c r="A12" s="2"/>
      <c r="B12" s="112" t="s">
        <v>13</v>
      </c>
      <c r="C12" s="112"/>
      <c r="D12" s="112"/>
      <c r="E12" s="112"/>
      <c r="F12" s="112"/>
      <c r="G12" s="7" t="s">
        <v>9</v>
      </c>
      <c r="H12" s="2"/>
    </row>
    <row r="13" spans="1:8" ht="29.25" customHeight="1">
      <c r="A13" s="2"/>
      <c r="B13" s="113" t="s">
        <v>14</v>
      </c>
      <c r="C13" s="113"/>
      <c r="D13" s="113"/>
      <c r="E13" s="113"/>
      <c r="F13" s="113"/>
      <c r="G13" s="17">
        <f>G10</f>
        <v>6264.47</v>
      </c>
      <c r="H13" s="2"/>
    </row>
    <row r="14" spans="1:8" ht="29.25" customHeight="1">
      <c r="A14" s="2"/>
      <c r="B14" s="114" t="s">
        <v>15</v>
      </c>
      <c r="C14" s="114"/>
      <c r="D14" s="114"/>
      <c r="E14" s="114"/>
      <c r="F14" s="114"/>
      <c r="G14" s="19">
        <f>Deslocamento!G21</f>
        <v>363.64</v>
      </c>
      <c r="H14" s="2"/>
    </row>
    <row r="15" spans="1:8" ht="29.25" customHeight="1">
      <c r="A15" s="2"/>
      <c r="B15" s="115" t="s">
        <v>16</v>
      </c>
      <c r="C15" s="115"/>
      <c r="D15" s="115"/>
      <c r="E15" s="115"/>
      <c r="F15" s="115"/>
      <c r="G15" s="20">
        <f>SUM(G13:G14)</f>
        <v>6628.1100000000006</v>
      </c>
      <c r="H15" s="2"/>
    </row>
    <row r="16" spans="1:8">
      <c r="A16" s="2"/>
      <c r="B16" s="2"/>
      <c r="C16" s="2"/>
      <c r="D16" s="2"/>
      <c r="E16" s="2"/>
      <c r="F16" s="2"/>
      <c r="G16" s="2"/>
      <c r="H16" s="2"/>
    </row>
    <row r="17" spans="1:8">
      <c r="A17" s="2"/>
      <c r="B17" s="2"/>
      <c r="C17" s="2"/>
      <c r="D17" s="2"/>
      <c r="E17" s="2"/>
      <c r="F17" s="2"/>
      <c r="G17" s="2"/>
      <c r="H17" s="2"/>
    </row>
  </sheetData>
  <mergeCells count="9">
    <mergeCell ref="B12:F12"/>
    <mergeCell ref="B13:F13"/>
    <mergeCell ref="B14:F14"/>
    <mergeCell ref="B15:F15"/>
    <mergeCell ref="B2:G2"/>
    <mergeCell ref="B3:G3"/>
    <mergeCell ref="B4:G4"/>
    <mergeCell ref="B6:G6"/>
    <mergeCell ref="B10:E10"/>
  </mergeCells>
  <printOptions horizontalCentered="1"/>
  <pageMargins left="0.51180555555555596" right="0.51180555555555596" top="0.78749999999999998" bottom="0.78749999999999998" header="0.511811023622047" footer="0.511811023622047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153"/>
  <sheetViews>
    <sheetView tabSelected="1" zoomScaleNormal="100" workbookViewId="0">
      <selection activeCell="B2" sqref="B2:G2"/>
    </sheetView>
  </sheetViews>
  <sheetFormatPr defaultColWidth="9.140625" defaultRowHeight="15"/>
  <cols>
    <col min="1" max="1" width="3.140625" style="21" customWidth="1"/>
    <col min="2" max="2" width="10" style="21" customWidth="1"/>
    <col min="3" max="3" width="62.140625" style="21" customWidth="1"/>
    <col min="4" max="6" width="15.5703125" style="21" customWidth="1"/>
    <col min="7" max="7" width="3.140625" style="21" customWidth="1"/>
    <col min="8" max="16384" width="9.140625" style="21"/>
  </cols>
  <sheetData>
    <row r="1" spans="1:7" ht="17.25" customHeight="1">
      <c r="A1" s="2"/>
      <c r="B1" s="22" t="s">
        <v>187</v>
      </c>
      <c r="C1" s="22"/>
      <c r="D1" s="22"/>
      <c r="E1" s="22"/>
      <c r="F1" s="22"/>
      <c r="G1" s="2"/>
    </row>
    <row r="2" spans="1:7" ht="17.25" customHeight="1">
      <c r="A2" s="2"/>
      <c r="B2" s="120" t="s">
        <v>0</v>
      </c>
      <c r="C2" s="120"/>
      <c r="D2" s="120"/>
      <c r="E2" s="120"/>
      <c r="F2" s="120"/>
      <c r="G2" s="2"/>
    </row>
    <row r="3" spans="1:7" ht="17.25" customHeight="1">
      <c r="A3" s="2"/>
      <c r="B3" s="120" t="s">
        <v>1</v>
      </c>
      <c r="C3" s="120"/>
      <c r="D3" s="120"/>
      <c r="E3" s="120"/>
      <c r="F3" s="120"/>
      <c r="G3" s="2"/>
    </row>
    <row r="4" spans="1:7" ht="17.25" customHeight="1">
      <c r="A4" s="2"/>
      <c r="B4" s="121" t="s">
        <v>2</v>
      </c>
      <c r="C4" s="121"/>
      <c r="D4" s="121"/>
      <c r="E4" s="121"/>
      <c r="F4" s="121"/>
      <c r="G4" s="2"/>
    </row>
    <row r="5" spans="1:7" ht="17.25" customHeight="1">
      <c r="A5" s="2"/>
      <c r="B5" s="23"/>
      <c r="C5" s="23"/>
      <c r="D5" s="23"/>
      <c r="E5" s="23"/>
      <c r="F5" s="23"/>
      <c r="G5" s="2"/>
    </row>
    <row r="6" spans="1:7" ht="17.25" customHeight="1">
      <c r="A6" s="2"/>
      <c r="B6" s="117" t="s">
        <v>17</v>
      </c>
      <c r="C6" s="117"/>
      <c r="D6" s="117"/>
      <c r="E6" s="117"/>
      <c r="F6" s="117"/>
      <c r="G6" s="2"/>
    </row>
    <row r="7" spans="1:7" ht="17.25" customHeight="1">
      <c r="A7" s="2"/>
      <c r="B7" s="23"/>
      <c r="C7" s="23"/>
      <c r="D7" s="23"/>
      <c r="E7" s="23"/>
      <c r="F7" s="23"/>
      <c r="G7" s="2"/>
    </row>
    <row r="8" spans="1:7" ht="17.25" customHeight="1">
      <c r="A8" s="8"/>
      <c r="B8" s="24" t="s">
        <v>18</v>
      </c>
      <c r="C8" s="25" t="s">
        <v>19</v>
      </c>
      <c r="D8" s="122"/>
      <c r="E8" s="122"/>
      <c r="F8" s="122"/>
      <c r="G8" s="8"/>
    </row>
    <row r="9" spans="1:7" ht="17.25" customHeight="1">
      <c r="A9" s="2"/>
      <c r="B9" s="24" t="s">
        <v>20</v>
      </c>
      <c r="C9" s="25" t="s">
        <v>21</v>
      </c>
      <c r="D9" s="122" t="s">
        <v>22</v>
      </c>
      <c r="E9" s="122"/>
      <c r="F9" s="122"/>
      <c r="G9" s="2"/>
    </row>
    <row r="10" spans="1:7" ht="17.25" customHeight="1">
      <c r="A10" s="14"/>
      <c r="B10" s="24" t="s">
        <v>23</v>
      </c>
      <c r="C10" s="25" t="s">
        <v>24</v>
      </c>
      <c r="D10" s="122">
        <v>2023</v>
      </c>
      <c r="E10" s="122"/>
      <c r="F10" s="122"/>
      <c r="G10" s="14"/>
    </row>
    <row r="11" spans="1:7" ht="17.25" customHeight="1">
      <c r="A11" s="2"/>
      <c r="B11" s="24" t="s">
        <v>25</v>
      </c>
      <c r="C11" s="25" t="s">
        <v>26</v>
      </c>
      <c r="D11" s="122">
        <v>12</v>
      </c>
      <c r="E11" s="122"/>
      <c r="F11" s="122"/>
      <c r="G11" s="2"/>
    </row>
    <row r="12" spans="1:7" ht="17.25" customHeight="1">
      <c r="A12" s="2"/>
      <c r="B12" s="26"/>
      <c r="C12" s="27"/>
      <c r="D12" s="26"/>
      <c r="E12" s="26"/>
      <c r="F12" s="26"/>
      <c r="G12" s="2"/>
    </row>
    <row r="13" spans="1:7" ht="17.25" customHeight="1">
      <c r="A13" s="2"/>
      <c r="B13" s="26"/>
      <c r="C13" s="25" t="s">
        <v>27</v>
      </c>
      <c r="D13" s="122" t="s">
        <v>28</v>
      </c>
      <c r="E13" s="122"/>
      <c r="F13" s="122"/>
      <c r="G13" s="2"/>
    </row>
    <row r="14" spans="1:7" ht="17.25" customHeight="1">
      <c r="A14" s="2"/>
      <c r="B14" s="26"/>
      <c r="C14" s="25" t="s">
        <v>29</v>
      </c>
      <c r="D14" s="122" t="s">
        <v>30</v>
      </c>
      <c r="E14" s="122"/>
      <c r="F14" s="122"/>
      <c r="G14" s="2"/>
    </row>
    <row r="15" spans="1:7" ht="17.25" customHeight="1">
      <c r="A15" s="2"/>
      <c r="B15" s="26"/>
      <c r="C15" s="25" t="s">
        <v>31</v>
      </c>
      <c r="D15" s="123">
        <v>1723.71</v>
      </c>
      <c r="E15" s="123"/>
      <c r="F15" s="123"/>
      <c r="G15" s="28"/>
    </row>
    <row r="16" spans="1:7" ht="23.25" customHeight="1">
      <c r="A16" s="2"/>
      <c r="B16" s="26"/>
      <c r="C16" s="25" t="s">
        <v>32</v>
      </c>
      <c r="D16" s="124" t="s">
        <v>33</v>
      </c>
      <c r="E16" s="124"/>
      <c r="F16" s="124"/>
      <c r="G16" s="2"/>
    </row>
    <row r="17" spans="1:7" ht="17.25" customHeight="1">
      <c r="A17" s="2"/>
      <c r="B17" s="26"/>
      <c r="C17" s="25" t="s">
        <v>34</v>
      </c>
      <c r="D17" s="125">
        <v>45047</v>
      </c>
      <c r="E17" s="125"/>
      <c r="F17" s="125"/>
      <c r="G17" s="2"/>
    </row>
    <row r="18" spans="1:7" ht="17.25" customHeight="1">
      <c r="A18" s="2"/>
      <c r="B18" s="26"/>
      <c r="C18" s="25" t="s">
        <v>35</v>
      </c>
      <c r="D18" s="122" t="s">
        <v>36</v>
      </c>
      <c r="E18" s="122"/>
      <c r="F18" s="122"/>
      <c r="G18" s="2"/>
    </row>
    <row r="19" spans="1:7" ht="17.25" customHeight="1">
      <c r="A19" s="2"/>
      <c r="B19" s="26"/>
      <c r="C19" s="25" t="s">
        <v>37</v>
      </c>
      <c r="D19" s="122">
        <v>1</v>
      </c>
      <c r="E19" s="122"/>
      <c r="F19" s="122"/>
      <c r="G19" s="2"/>
    </row>
    <row r="20" spans="1:7" ht="17.25" customHeight="1">
      <c r="A20" s="2"/>
      <c r="B20" s="26"/>
      <c r="C20" s="27"/>
      <c r="D20" s="26"/>
      <c r="E20" s="26"/>
      <c r="F20" s="26"/>
      <c r="G20" s="2"/>
    </row>
    <row r="21" spans="1:7" ht="17.25" customHeight="1">
      <c r="A21" s="2"/>
      <c r="B21" s="22"/>
      <c r="C21" s="22"/>
      <c r="D21" s="22"/>
      <c r="E21" s="22"/>
      <c r="F21" s="22"/>
      <c r="G21" s="2"/>
    </row>
    <row r="22" spans="1:7" ht="17.25" customHeight="1">
      <c r="A22" s="2"/>
      <c r="B22" s="126" t="s">
        <v>38</v>
      </c>
      <c r="C22" s="126"/>
      <c r="D22" s="126"/>
      <c r="E22" s="126"/>
      <c r="F22" s="126"/>
      <c r="G22" s="2"/>
    </row>
    <row r="23" spans="1:7" ht="17.25" customHeight="1">
      <c r="A23" s="2"/>
      <c r="B23" s="22"/>
      <c r="C23" s="22"/>
      <c r="D23" s="22"/>
      <c r="E23" s="22"/>
      <c r="F23" s="22"/>
      <c r="G23" s="2"/>
    </row>
    <row r="24" spans="1:7" ht="17.25" customHeight="1">
      <c r="A24" s="2"/>
      <c r="B24" s="29">
        <v>1</v>
      </c>
      <c r="C24" s="127" t="s">
        <v>39</v>
      </c>
      <c r="D24" s="127"/>
      <c r="E24" s="127"/>
      <c r="F24" s="30" t="s">
        <v>40</v>
      </c>
      <c r="G24" s="2"/>
    </row>
    <row r="25" spans="1:7" ht="17.25" customHeight="1">
      <c r="A25" s="2"/>
      <c r="B25" s="31" t="s">
        <v>18</v>
      </c>
      <c r="C25" s="128" t="s">
        <v>41</v>
      </c>
      <c r="D25" s="128"/>
      <c r="E25" s="32"/>
      <c r="F25" s="33">
        <f>D15</f>
        <v>1723.71</v>
      </c>
      <c r="G25" s="2"/>
    </row>
    <row r="26" spans="1:7" ht="17.25" customHeight="1">
      <c r="A26" s="2"/>
      <c r="B26" s="31" t="s">
        <v>20</v>
      </c>
      <c r="C26" s="128" t="s">
        <v>42</v>
      </c>
      <c r="D26" s="128"/>
      <c r="E26" s="34">
        <v>0.4</v>
      </c>
      <c r="F26" s="33">
        <f>F25*0.4</f>
        <v>689.48400000000004</v>
      </c>
      <c r="G26" s="2"/>
    </row>
    <row r="27" spans="1:7" ht="17.25" customHeight="1">
      <c r="A27" s="2"/>
      <c r="B27" s="31" t="s">
        <v>23</v>
      </c>
      <c r="C27" s="128" t="s">
        <v>43</v>
      </c>
      <c r="D27" s="128"/>
      <c r="E27" s="32"/>
      <c r="F27" s="33">
        <v>0</v>
      </c>
      <c r="G27" s="2"/>
    </row>
    <row r="28" spans="1:7" ht="17.25" customHeight="1">
      <c r="A28" s="2"/>
      <c r="B28" s="31" t="s">
        <v>25</v>
      </c>
      <c r="C28" s="128" t="s">
        <v>44</v>
      </c>
      <c r="D28" s="128"/>
      <c r="E28" s="32"/>
      <c r="F28" s="33">
        <v>0</v>
      </c>
      <c r="G28" s="2"/>
    </row>
    <row r="29" spans="1:7" ht="17.25" customHeight="1">
      <c r="A29" s="2"/>
      <c r="B29" s="31" t="s">
        <v>45</v>
      </c>
      <c r="C29" s="128" t="s">
        <v>46</v>
      </c>
      <c r="D29" s="128"/>
      <c r="E29" s="32"/>
      <c r="F29" s="33">
        <v>0</v>
      </c>
      <c r="G29" s="2"/>
    </row>
    <row r="30" spans="1:7" ht="17.25" customHeight="1">
      <c r="A30" s="2"/>
      <c r="B30" s="31" t="s">
        <v>47</v>
      </c>
      <c r="C30" s="128" t="s">
        <v>48</v>
      </c>
      <c r="D30" s="128"/>
      <c r="E30" s="32"/>
      <c r="F30" s="33">
        <v>0</v>
      </c>
      <c r="G30" s="2"/>
    </row>
    <row r="31" spans="1:7" ht="17.25" customHeight="1">
      <c r="A31" s="2"/>
      <c r="B31" s="31" t="s">
        <v>49</v>
      </c>
      <c r="C31" s="128" t="s">
        <v>50</v>
      </c>
      <c r="D31" s="128"/>
      <c r="E31" s="32"/>
      <c r="F31" s="33">
        <v>0</v>
      </c>
      <c r="G31" s="2"/>
    </row>
    <row r="32" spans="1:7" ht="17.25" customHeight="1">
      <c r="A32" s="2"/>
      <c r="B32" s="127" t="s">
        <v>51</v>
      </c>
      <c r="C32" s="127"/>
      <c r="D32" s="127"/>
      <c r="E32" s="127"/>
      <c r="F32" s="35">
        <f>SUM(F25:F31)</f>
        <v>2413.194</v>
      </c>
      <c r="G32" s="2"/>
    </row>
    <row r="33" spans="1:7" ht="17.25" customHeight="1">
      <c r="A33" s="2"/>
      <c r="B33" s="22"/>
      <c r="C33" s="22"/>
      <c r="D33" s="22"/>
      <c r="E33" s="22"/>
      <c r="F33" s="22"/>
      <c r="G33" s="2"/>
    </row>
    <row r="34" spans="1:7" ht="17.25" customHeight="1">
      <c r="A34" s="2"/>
      <c r="B34" s="22"/>
      <c r="C34" s="22"/>
      <c r="D34" s="22"/>
      <c r="E34" s="22"/>
      <c r="F34" s="22"/>
      <c r="G34" s="2"/>
    </row>
    <row r="35" spans="1:7" ht="17.25" customHeight="1">
      <c r="A35" s="2"/>
      <c r="B35" s="126" t="s">
        <v>52</v>
      </c>
      <c r="C35" s="126"/>
      <c r="D35" s="126"/>
      <c r="E35" s="126"/>
      <c r="F35" s="126"/>
      <c r="G35" s="2"/>
    </row>
    <row r="36" spans="1:7" ht="17.25" customHeight="1">
      <c r="A36" s="2"/>
      <c r="B36" s="36"/>
      <c r="C36" s="22"/>
      <c r="D36" s="22"/>
      <c r="E36" s="22"/>
      <c r="F36" s="22"/>
      <c r="G36" s="2"/>
    </row>
    <row r="37" spans="1:7" ht="17.25" customHeight="1">
      <c r="A37" s="2"/>
      <c r="B37" s="129" t="s">
        <v>53</v>
      </c>
      <c r="C37" s="129"/>
      <c r="D37" s="129"/>
      <c r="E37" s="129"/>
      <c r="F37" s="129"/>
      <c r="G37" s="2"/>
    </row>
    <row r="38" spans="1:7" ht="17.25" customHeight="1">
      <c r="A38" s="2"/>
      <c r="B38" s="22"/>
      <c r="C38" s="22"/>
      <c r="D38" s="22"/>
      <c r="E38" s="22"/>
      <c r="F38" s="22"/>
      <c r="G38" s="2"/>
    </row>
    <row r="39" spans="1:7" ht="17.25" customHeight="1">
      <c r="A39" s="2"/>
      <c r="B39" s="30" t="s">
        <v>54</v>
      </c>
      <c r="C39" s="127" t="s">
        <v>55</v>
      </c>
      <c r="D39" s="127"/>
      <c r="E39" s="127"/>
      <c r="F39" s="30" t="s">
        <v>40</v>
      </c>
      <c r="G39" s="2"/>
    </row>
    <row r="40" spans="1:7" ht="17.25" customHeight="1">
      <c r="A40" s="2"/>
      <c r="B40" s="31" t="s">
        <v>18</v>
      </c>
      <c r="C40" s="130" t="s">
        <v>56</v>
      </c>
      <c r="D40" s="130"/>
      <c r="E40" s="130"/>
      <c r="F40" s="33">
        <f>F32/12</f>
        <v>201.09950000000001</v>
      </c>
      <c r="G40" s="2"/>
    </row>
    <row r="41" spans="1:7" ht="17.25" customHeight="1">
      <c r="A41" s="2"/>
      <c r="B41" s="31" t="s">
        <v>20</v>
      </c>
      <c r="C41" s="130" t="s">
        <v>57</v>
      </c>
      <c r="D41" s="130"/>
      <c r="E41" s="130"/>
      <c r="F41" s="33">
        <f>((F32/3)/12)</f>
        <v>67.033166666666673</v>
      </c>
      <c r="G41" s="2"/>
    </row>
    <row r="42" spans="1:7" ht="17.25" customHeight="1">
      <c r="A42" s="2"/>
      <c r="B42" s="127" t="s">
        <v>51</v>
      </c>
      <c r="C42" s="127"/>
      <c r="D42" s="127"/>
      <c r="E42" s="127"/>
      <c r="F42" s="35">
        <f>SUM(F40:F41)</f>
        <v>268.13266666666669</v>
      </c>
      <c r="G42" s="2"/>
    </row>
    <row r="43" spans="1:7" ht="17.25" customHeight="1">
      <c r="A43" s="2"/>
      <c r="B43" s="39"/>
      <c r="C43" s="39"/>
      <c r="D43" s="39"/>
      <c r="E43" s="39"/>
      <c r="F43" s="40"/>
      <c r="G43" s="2"/>
    </row>
    <row r="44" spans="1:7" ht="17.25" customHeight="1">
      <c r="A44" s="2"/>
      <c r="B44" s="131" t="s">
        <v>58</v>
      </c>
      <c r="C44" s="131"/>
      <c r="D44" s="131"/>
      <c r="E44" s="131"/>
      <c r="F44" s="41">
        <f>F32+F42</f>
        <v>2681.3266666666668</v>
      </c>
      <c r="G44" s="2"/>
    </row>
    <row r="45" spans="1:7" ht="17.25" customHeight="1">
      <c r="A45" s="2"/>
      <c r="B45" s="22"/>
      <c r="C45" s="22"/>
      <c r="D45" s="22"/>
      <c r="E45" s="22"/>
      <c r="F45" s="22"/>
      <c r="G45" s="2"/>
    </row>
    <row r="46" spans="1:7" ht="17.25" customHeight="1">
      <c r="A46" s="2"/>
      <c r="B46" s="132" t="s">
        <v>59</v>
      </c>
      <c r="C46" s="132"/>
      <c r="D46" s="132"/>
      <c r="E46" s="132"/>
      <c r="F46" s="132"/>
      <c r="G46" s="2"/>
    </row>
    <row r="47" spans="1:7" ht="17.25" customHeight="1">
      <c r="A47" s="2"/>
      <c r="B47" s="22"/>
      <c r="C47" s="22"/>
      <c r="D47" s="22"/>
      <c r="E47" s="22"/>
      <c r="F47" s="22"/>
      <c r="G47" s="2"/>
    </row>
    <row r="48" spans="1:7" ht="17.25" customHeight="1">
      <c r="A48" s="2"/>
      <c r="B48" s="30" t="s">
        <v>60</v>
      </c>
      <c r="C48" s="127" t="s">
        <v>61</v>
      </c>
      <c r="D48" s="127"/>
      <c r="E48" s="30" t="s">
        <v>62</v>
      </c>
      <c r="F48" s="30" t="s">
        <v>40</v>
      </c>
      <c r="G48" s="2"/>
    </row>
    <row r="49" spans="1:8" ht="17.25" customHeight="1">
      <c r="A49" s="2"/>
      <c r="B49" s="31" t="s">
        <v>18</v>
      </c>
      <c r="C49" s="130" t="s">
        <v>63</v>
      </c>
      <c r="D49" s="130"/>
      <c r="E49" s="42">
        <v>0.2</v>
      </c>
      <c r="F49" s="33">
        <f t="shared" ref="F49:F56" si="0">$F$44*E49</f>
        <v>536.26533333333339</v>
      </c>
      <c r="G49" s="2"/>
    </row>
    <row r="50" spans="1:8" ht="17.25" customHeight="1">
      <c r="A50" s="2"/>
      <c r="B50" s="31" t="s">
        <v>20</v>
      </c>
      <c r="C50" s="130" t="s">
        <v>64</v>
      </c>
      <c r="D50" s="130"/>
      <c r="E50" s="42">
        <v>2.5000000000000001E-2</v>
      </c>
      <c r="F50" s="33">
        <f t="shared" si="0"/>
        <v>67.033166666666673</v>
      </c>
      <c r="G50" s="2"/>
    </row>
    <row r="51" spans="1:8" ht="17.25" customHeight="1">
      <c r="A51" s="2"/>
      <c r="B51" s="31" t="s">
        <v>23</v>
      </c>
      <c r="C51" s="130" t="s">
        <v>65</v>
      </c>
      <c r="D51" s="130"/>
      <c r="E51" s="42">
        <f>3*2%</f>
        <v>0.06</v>
      </c>
      <c r="F51" s="33">
        <f t="shared" si="0"/>
        <v>160.87960000000001</v>
      </c>
      <c r="G51" s="2"/>
    </row>
    <row r="52" spans="1:8" ht="17.25" customHeight="1">
      <c r="A52" s="2"/>
      <c r="B52" s="31" t="s">
        <v>25</v>
      </c>
      <c r="C52" s="130" t="s">
        <v>66</v>
      </c>
      <c r="D52" s="130"/>
      <c r="E52" s="42">
        <v>1.4999999999999999E-2</v>
      </c>
      <c r="F52" s="33">
        <f t="shared" si="0"/>
        <v>40.219900000000003</v>
      </c>
      <c r="G52" s="2"/>
    </row>
    <row r="53" spans="1:8" ht="17.25" customHeight="1">
      <c r="A53" s="2"/>
      <c r="B53" s="31" t="s">
        <v>45</v>
      </c>
      <c r="C53" s="130" t="s">
        <v>67</v>
      </c>
      <c r="D53" s="130"/>
      <c r="E53" s="42">
        <v>0.01</v>
      </c>
      <c r="F53" s="33">
        <f t="shared" si="0"/>
        <v>26.813266666666667</v>
      </c>
      <c r="G53" s="2"/>
    </row>
    <row r="54" spans="1:8" ht="17.25" customHeight="1">
      <c r="A54" s="2"/>
      <c r="B54" s="31" t="s">
        <v>68</v>
      </c>
      <c r="C54" s="130" t="s">
        <v>69</v>
      </c>
      <c r="D54" s="130"/>
      <c r="E54" s="42">
        <v>6.0000000000000001E-3</v>
      </c>
      <c r="F54" s="33">
        <f t="shared" si="0"/>
        <v>16.087960000000002</v>
      </c>
      <c r="G54" s="2"/>
    </row>
    <row r="55" spans="1:8" ht="17.25" customHeight="1">
      <c r="A55" s="2"/>
      <c r="B55" s="31" t="s">
        <v>47</v>
      </c>
      <c r="C55" s="130" t="s">
        <v>70</v>
      </c>
      <c r="D55" s="130"/>
      <c r="E55" s="42">
        <v>2E-3</v>
      </c>
      <c r="F55" s="33">
        <f t="shared" si="0"/>
        <v>5.3626533333333342</v>
      </c>
      <c r="G55" s="2"/>
    </row>
    <row r="56" spans="1:8" ht="17.25" customHeight="1">
      <c r="A56" s="2"/>
      <c r="B56" s="31" t="s">
        <v>49</v>
      </c>
      <c r="C56" s="130" t="s">
        <v>71</v>
      </c>
      <c r="D56" s="130"/>
      <c r="E56" s="42">
        <v>0.08</v>
      </c>
      <c r="F56" s="33">
        <f t="shared" si="0"/>
        <v>214.50613333333334</v>
      </c>
      <c r="G56" s="2"/>
    </row>
    <row r="57" spans="1:8" ht="17.25" customHeight="1">
      <c r="A57" s="2"/>
      <c r="B57" s="127" t="s">
        <v>72</v>
      </c>
      <c r="C57" s="127"/>
      <c r="D57" s="127"/>
      <c r="E57" s="43">
        <f>SUM(E49:E56)</f>
        <v>0.39800000000000008</v>
      </c>
      <c r="F57" s="35">
        <f>SUM(F49:F56)</f>
        <v>1067.1680133333334</v>
      </c>
      <c r="G57" s="2"/>
      <c r="H57" s="44"/>
    </row>
    <row r="58" spans="1:8" ht="17.25" customHeight="1">
      <c r="A58" s="2"/>
      <c r="B58" s="22"/>
      <c r="C58" s="22"/>
      <c r="D58" s="22"/>
      <c r="E58" s="22"/>
      <c r="F58" s="22"/>
      <c r="G58" s="2"/>
    </row>
    <row r="59" spans="1:8" ht="17.25" customHeight="1">
      <c r="A59" s="2"/>
      <c r="B59" s="129" t="s">
        <v>73</v>
      </c>
      <c r="C59" s="129"/>
      <c r="D59" s="129"/>
      <c r="E59" s="129"/>
      <c r="F59" s="129"/>
      <c r="G59" s="2"/>
    </row>
    <row r="60" spans="1:8" ht="17.25" customHeight="1">
      <c r="A60" s="2"/>
      <c r="B60" s="22"/>
      <c r="C60" s="22"/>
      <c r="D60" s="22"/>
      <c r="E60" s="22"/>
      <c r="F60" s="22"/>
      <c r="G60" s="2"/>
    </row>
    <row r="61" spans="1:8" ht="17.25" customHeight="1">
      <c r="A61" s="2"/>
      <c r="B61" s="30" t="s">
        <v>74</v>
      </c>
      <c r="C61" s="45" t="s">
        <v>75</v>
      </c>
      <c r="D61" s="45" t="s">
        <v>76</v>
      </c>
      <c r="E61" s="45" t="s">
        <v>77</v>
      </c>
      <c r="F61" s="30" t="s">
        <v>40</v>
      </c>
      <c r="G61" s="2"/>
    </row>
    <row r="62" spans="1:8" ht="17.25" customHeight="1">
      <c r="A62" s="2"/>
      <c r="B62" s="31" t="s">
        <v>18</v>
      </c>
      <c r="C62" s="46" t="s">
        <v>78</v>
      </c>
      <c r="D62" s="33">
        <v>6</v>
      </c>
      <c r="E62" s="47">
        <v>44</v>
      </c>
      <c r="F62" s="48">
        <f>IF(((D62*E62)-(F25*6%))&gt;0,((D62*E62)-(F25*6%)),0)</f>
        <v>160.57740000000001</v>
      </c>
      <c r="G62" s="2"/>
    </row>
    <row r="63" spans="1:8" ht="17.25" customHeight="1">
      <c r="A63" s="2"/>
      <c r="B63" s="31" t="s">
        <v>20</v>
      </c>
      <c r="C63" s="49" t="s">
        <v>79</v>
      </c>
      <c r="D63" s="33">
        <f>1320*30%</f>
        <v>396</v>
      </c>
      <c r="E63" s="50">
        <f>(1*12*1.5%*7.49%)/12</f>
        <v>1.1235000000000001E-3</v>
      </c>
      <c r="F63" s="51">
        <f>D63*E63</f>
        <v>0.44490600000000008</v>
      </c>
      <c r="G63" s="2"/>
    </row>
    <row r="64" spans="1:8" ht="17.25" customHeight="1">
      <c r="A64" s="2"/>
      <c r="B64" s="31" t="s">
        <v>23</v>
      </c>
      <c r="C64" s="38" t="s">
        <v>80</v>
      </c>
      <c r="D64" s="33">
        <f>1320*50%</f>
        <v>660</v>
      </c>
      <c r="E64" s="52">
        <f>(1*12*0.16%)/12</f>
        <v>1.6000000000000001E-3</v>
      </c>
      <c r="F64" s="33">
        <f>D64*E64</f>
        <v>1.056</v>
      </c>
      <c r="G64" s="2"/>
    </row>
    <row r="65" spans="1:7" ht="17.25" customHeight="1">
      <c r="A65" s="2"/>
      <c r="B65" s="31" t="s">
        <v>25</v>
      </c>
      <c r="C65" s="130" t="s">
        <v>81</v>
      </c>
      <c r="D65" s="130"/>
      <c r="E65" s="130"/>
      <c r="F65" s="53">
        <f>((50000*0.012%)+(100000*0.012%)+(50000*0.012%)+(50000*0.012%))/4</f>
        <v>7.5</v>
      </c>
      <c r="G65" s="2"/>
    </row>
    <row r="66" spans="1:7" ht="17.25" customHeight="1">
      <c r="A66" s="2"/>
      <c r="B66" s="31" t="s">
        <v>45</v>
      </c>
      <c r="C66" s="130" t="s">
        <v>50</v>
      </c>
      <c r="D66" s="130"/>
      <c r="E66" s="130"/>
      <c r="F66" s="33">
        <v>0</v>
      </c>
      <c r="G66" s="2"/>
    </row>
    <row r="67" spans="1:7" ht="17.25" customHeight="1">
      <c r="A67" s="2"/>
      <c r="B67" s="127" t="s">
        <v>51</v>
      </c>
      <c r="C67" s="127"/>
      <c r="D67" s="127"/>
      <c r="E67" s="127"/>
      <c r="F67" s="35">
        <f>SUM(F62:F66)</f>
        <v>169.57830600000003</v>
      </c>
      <c r="G67" s="2"/>
    </row>
    <row r="68" spans="1:7" ht="17.25" customHeight="1">
      <c r="A68" s="2"/>
      <c r="B68" s="22"/>
      <c r="C68" s="22"/>
      <c r="D68" s="22"/>
      <c r="E68" s="22"/>
      <c r="F68" s="22"/>
      <c r="G68" s="2"/>
    </row>
    <row r="69" spans="1:7" ht="17.25" customHeight="1">
      <c r="A69" s="2"/>
      <c r="B69" s="133" t="s">
        <v>82</v>
      </c>
      <c r="C69" s="133"/>
      <c r="D69" s="133"/>
      <c r="E69" s="133"/>
      <c r="F69" s="133"/>
      <c r="G69" s="2"/>
    </row>
    <row r="70" spans="1:7" ht="17.25" customHeight="1">
      <c r="A70" s="2"/>
      <c r="B70" s="22"/>
      <c r="C70" s="22"/>
      <c r="D70" s="22"/>
      <c r="E70" s="22"/>
      <c r="F70" s="22"/>
      <c r="G70" s="2"/>
    </row>
    <row r="71" spans="1:7" ht="17.25" customHeight="1">
      <c r="A71" s="2"/>
      <c r="B71" s="30">
        <v>2</v>
      </c>
      <c r="C71" s="127" t="s">
        <v>83</v>
      </c>
      <c r="D71" s="127"/>
      <c r="E71" s="127"/>
      <c r="F71" s="30" t="s">
        <v>40</v>
      </c>
      <c r="G71" s="2"/>
    </row>
    <row r="72" spans="1:7" ht="17.25" customHeight="1">
      <c r="A72" s="2"/>
      <c r="B72" s="31" t="s">
        <v>54</v>
      </c>
      <c r="C72" s="130" t="s">
        <v>55</v>
      </c>
      <c r="D72" s="130"/>
      <c r="E72" s="130"/>
      <c r="F72" s="54">
        <f>F42</f>
        <v>268.13266666666669</v>
      </c>
      <c r="G72" s="2"/>
    </row>
    <row r="73" spans="1:7" ht="17.25" customHeight="1">
      <c r="A73" s="2"/>
      <c r="B73" s="31" t="s">
        <v>60</v>
      </c>
      <c r="C73" s="130" t="s">
        <v>61</v>
      </c>
      <c r="D73" s="130"/>
      <c r="E73" s="130"/>
      <c r="F73" s="54">
        <f>F57</f>
        <v>1067.1680133333334</v>
      </c>
      <c r="G73" s="2"/>
    </row>
    <row r="74" spans="1:7" ht="17.25" customHeight="1">
      <c r="A74" s="2"/>
      <c r="B74" s="31" t="s">
        <v>74</v>
      </c>
      <c r="C74" s="130" t="s">
        <v>75</v>
      </c>
      <c r="D74" s="130"/>
      <c r="E74" s="130"/>
      <c r="F74" s="54">
        <f>F67</f>
        <v>169.57830600000003</v>
      </c>
      <c r="G74" s="2"/>
    </row>
    <row r="75" spans="1:7" ht="17.25" customHeight="1">
      <c r="A75" s="2"/>
      <c r="B75" s="127" t="s">
        <v>51</v>
      </c>
      <c r="C75" s="127"/>
      <c r="D75" s="127"/>
      <c r="E75" s="127"/>
      <c r="F75" s="35">
        <f>SUM(F72:F74)</f>
        <v>1504.8789860000002</v>
      </c>
      <c r="G75" s="2"/>
    </row>
    <row r="76" spans="1:7" ht="17.25" customHeight="1">
      <c r="A76" s="2"/>
      <c r="B76" s="22"/>
      <c r="C76" s="22"/>
      <c r="D76" s="22"/>
      <c r="E76" s="22"/>
      <c r="F76" s="22"/>
      <c r="G76" s="2"/>
    </row>
    <row r="77" spans="1:7" ht="17.25" customHeight="1">
      <c r="A77" s="2"/>
      <c r="B77" s="22"/>
      <c r="C77" s="22"/>
      <c r="D77" s="22"/>
      <c r="E77" s="22"/>
      <c r="F77" s="22"/>
      <c r="G77" s="2"/>
    </row>
    <row r="78" spans="1:7" ht="17.25" customHeight="1">
      <c r="A78" s="2"/>
      <c r="B78" s="126" t="s">
        <v>84</v>
      </c>
      <c r="C78" s="126"/>
      <c r="D78" s="126"/>
      <c r="E78" s="126"/>
      <c r="F78" s="126"/>
      <c r="G78" s="2"/>
    </row>
    <row r="79" spans="1:7" ht="17.25" customHeight="1">
      <c r="A79" s="2"/>
      <c r="B79" s="22"/>
      <c r="C79" s="22"/>
      <c r="D79" s="22"/>
      <c r="E79" s="22"/>
      <c r="F79" s="22"/>
      <c r="G79" s="2"/>
    </row>
    <row r="80" spans="1:7" ht="17.25" customHeight="1">
      <c r="A80" s="2"/>
      <c r="B80" s="30">
        <v>3</v>
      </c>
      <c r="C80" s="127" t="s">
        <v>85</v>
      </c>
      <c r="D80" s="127"/>
      <c r="E80" s="55" t="s">
        <v>62</v>
      </c>
      <c r="F80" s="30" t="s">
        <v>40</v>
      </c>
      <c r="G80" s="2"/>
    </row>
    <row r="81" spans="1:7" ht="17.25" customHeight="1">
      <c r="A81" s="2"/>
      <c r="B81" s="31" t="s">
        <v>18</v>
      </c>
      <c r="C81" s="130" t="s">
        <v>86</v>
      </c>
      <c r="D81" s="130"/>
      <c r="E81" s="56">
        <f>0.05*(1/12)</f>
        <v>4.1666666666666666E-3</v>
      </c>
      <c r="F81" s="33">
        <f t="shared" ref="F81:F86" si="1">E81*$F$32</f>
        <v>10.054974999999999</v>
      </c>
      <c r="G81" s="2"/>
    </row>
    <row r="82" spans="1:7" ht="17.25" customHeight="1">
      <c r="A82" s="2"/>
      <c r="B82" s="31" t="s">
        <v>20</v>
      </c>
      <c r="C82" s="130" t="s">
        <v>87</v>
      </c>
      <c r="D82" s="130"/>
      <c r="E82" s="56">
        <f>E81*E56</f>
        <v>3.3333333333333332E-4</v>
      </c>
      <c r="F82" s="33">
        <f t="shared" si="1"/>
        <v>0.80439799999999995</v>
      </c>
      <c r="G82" s="2"/>
    </row>
    <row r="83" spans="1:7" ht="17.25" customHeight="1">
      <c r="A83" s="2"/>
      <c r="B83" s="31" t="s">
        <v>23</v>
      </c>
      <c r="C83" s="130" t="s">
        <v>88</v>
      </c>
      <c r="D83" s="130"/>
      <c r="E83" s="56">
        <f>0.08*0.4*0.9*(1+2/12+(1/3*1/12))</f>
        <v>3.44E-2</v>
      </c>
      <c r="F83" s="33">
        <f t="shared" si="1"/>
        <v>83.013873599999997</v>
      </c>
      <c r="G83" s="2"/>
    </row>
    <row r="84" spans="1:7" ht="17.25" customHeight="1">
      <c r="A84" s="2"/>
      <c r="B84" s="31" t="s">
        <v>25</v>
      </c>
      <c r="C84" s="130" t="s">
        <v>89</v>
      </c>
      <c r="D84" s="130"/>
      <c r="E84" s="56">
        <f>(7/30)/12</f>
        <v>1.9444444444444445E-2</v>
      </c>
      <c r="F84" s="33">
        <f t="shared" si="1"/>
        <v>46.923216666666669</v>
      </c>
      <c r="G84" s="2"/>
    </row>
    <row r="85" spans="1:7" ht="17.25" customHeight="1">
      <c r="A85" s="2"/>
      <c r="B85" s="31" t="s">
        <v>45</v>
      </c>
      <c r="C85" s="130" t="s">
        <v>90</v>
      </c>
      <c r="D85" s="130"/>
      <c r="E85" s="56">
        <f>E84*E57</f>
        <v>7.7388888888888906E-3</v>
      </c>
      <c r="F85" s="33">
        <f t="shared" si="1"/>
        <v>18.675440233333337</v>
      </c>
      <c r="G85" s="2"/>
    </row>
    <row r="86" spans="1:7" ht="17.25" customHeight="1">
      <c r="A86" s="2"/>
      <c r="B86" s="31" t="s">
        <v>68</v>
      </c>
      <c r="C86" s="130" t="s">
        <v>91</v>
      </c>
      <c r="D86" s="130"/>
      <c r="E86" s="56">
        <f>E84*0.08*0.4</f>
        <v>6.2222222222222236E-4</v>
      </c>
      <c r="F86" s="33">
        <f t="shared" si="1"/>
        <v>1.5015429333333337</v>
      </c>
      <c r="G86" s="2"/>
    </row>
    <row r="87" spans="1:7" ht="17.25" customHeight="1">
      <c r="A87" s="2"/>
      <c r="B87" s="127" t="s">
        <v>51</v>
      </c>
      <c r="C87" s="127"/>
      <c r="D87" s="127"/>
      <c r="E87" s="57"/>
      <c r="F87" s="35">
        <f>SUM(F81:F86)</f>
        <v>160.97344643333332</v>
      </c>
      <c r="G87" s="2"/>
    </row>
    <row r="88" spans="1:7" ht="17.25" customHeight="1">
      <c r="A88" s="2"/>
      <c r="B88" s="22"/>
      <c r="C88" s="22"/>
      <c r="D88" s="22"/>
      <c r="E88" s="22"/>
      <c r="F88" s="22"/>
      <c r="G88" s="2"/>
    </row>
    <row r="89" spans="1:7" ht="17.25" customHeight="1">
      <c r="A89" s="2"/>
      <c r="B89" s="22"/>
      <c r="C89" s="22"/>
      <c r="D89" s="22"/>
      <c r="E89" s="22"/>
      <c r="F89" s="22"/>
      <c r="G89" s="2"/>
    </row>
    <row r="90" spans="1:7" ht="17.25" customHeight="1">
      <c r="A90" s="2"/>
      <c r="B90" s="126" t="s">
        <v>92</v>
      </c>
      <c r="C90" s="126"/>
      <c r="D90" s="126"/>
      <c r="E90" s="126"/>
      <c r="F90" s="126"/>
      <c r="G90" s="2"/>
    </row>
    <row r="91" spans="1:7" ht="17.25" customHeight="1">
      <c r="A91" s="2"/>
      <c r="B91" s="22"/>
      <c r="C91" s="22"/>
      <c r="D91" s="22"/>
      <c r="E91" s="22"/>
      <c r="F91" s="22"/>
      <c r="G91" s="2"/>
    </row>
    <row r="92" spans="1:7" ht="17.25" customHeight="1">
      <c r="A92" s="2"/>
      <c r="B92" s="129" t="s">
        <v>93</v>
      </c>
      <c r="C92" s="129"/>
      <c r="D92" s="129"/>
      <c r="E92" s="129"/>
      <c r="F92" s="129"/>
      <c r="G92" s="2"/>
    </row>
    <row r="93" spans="1:7" ht="17.25" customHeight="1">
      <c r="A93" s="2"/>
      <c r="B93" s="36"/>
      <c r="C93" s="22"/>
      <c r="D93" s="22"/>
      <c r="E93" s="22"/>
      <c r="F93" s="22"/>
      <c r="G93" s="2"/>
    </row>
    <row r="94" spans="1:7" ht="17.25" customHeight="1">
      <c r="A94" s="2"/>
      <c r="B94" s="55" t="s">
        <v>94</v>
      </c>
      <c r="C94" s="134" t="s">
        <v>95</v>
      </c>
      <c r="D94" s="134"/>
      <c r="E94" s="55" t="s">
        <v>62</v>
      </c>
      <c r="F94" s="30" t="s">
        <v>40</v>
      </c>
      <c r="G94" s="2"/>
    </row>
    <row r="95" spans="1:7" ht="17.25" customHeight="1">
      <c r="A95" s="2"/>
      <c r="B95" s="58" t="s">
        <v>18</v>
      </c>
      <c r="C95" s="135" t="s">
        <v>96</v>
      </c>
      <c r="D95" s="135"/>
      <c r="E95" s="56">
        <f>1/12</f>
        <v>8.3333333333333329E-2</v>
      </c>
      <c r="F95" s="59">
        <f t="shared" ref="F95:F102" si="2">E95*$F$32</f>
        <v>201.09949999999998</v>
      </c>
      <c r="G95" s="2"/>
    </row>
    <row r="96" spans="1:7" ht="17.25" customHeight="1">
      <c r="A96" s="2"/>
      <c r="B96" s="58" t="s">
        <v>20</v>
      </c>
      <c r="C96" s="135" t="s">
        <v>97</v>
      </c>
      <c r="D96" s="135"/>
      <c r="E96" s="56">
        <f>1/30/12</f>
        <v>2.7777777777777779E-3</v>
      </c>
      <c r="F96" s="59">
        <f t="shared" si="2"/>
        <v>6.7033166666666668</v>
      </c>
      <c r="G96" s="2"/>
    </row>
    <row r="97" spans="1:7" ht="17.25" customHeight="1">
      <c r="A97" s="2"/>
      <c r="B97" s="58" t="s">
        <v>23</v>
      </c>
      <c r="C97" s="135" t="s">
        <v>98</v>
      </c>
      <c r="D97" s="135"/>
      <c r="E97" s="56">
        <f>(5/30/12)*0.015</f>
        <v>2.0833333333333332E-4</v>
      </c>
      <c r="F97" s="59">
        <f t="shared" si="2"/>
        <v>0.50274874999999997</v>
      </c>
      <c r="G97" s="2"/>
    </row>
    <row r="98" spans="1:7" ht="17.25" customHeight="1">
      <c r="A98" s="2"/>
      <c r="B98" s="58" t="s">
        <v>25</v>
      </c>
      <c r="C98" s="135" t="s">
        <v>99</v>
      </c>
      <c r="D98" s="135"/>
      <c r="E98" s="56">
        <f>(1/12)*0.0178</f>
        <v>1.4833333333333332E-3</v>
      </c>
      <c r="F98" s="59">
        <f t="shared" si="2"/>
        <v>3.5795710999999999</v>
      </c>
      <c r="G98" s="2"/>
    </row>
    <row r="99" spans="1:7" ht="17.25" customHeight="1">
      <c r="A99" s="2"/>
      <c r="B99" s="58" t="s">
        <v>45</v>
      </c>
      <c r="C99" s="135" t="s">
        <v>100</v>
      </c>
      <c r="D99" s="135"/>
      <c r="E99" s="56">
        <f>11.11%*5.28%*50%</f>
        <v>2.9330399999999996E-3</v>
      </c>
      <c r="F99" s="59">
        <f t="shared" si="2"/>
        <v>7.0779945297599989</v>
      </c>
      <c r="G99" s="2"/>
    </row>
    <row r="100" spans="1:7" ht="17.25" customHeight="1">
      <c r="A100" s="2"/>
      <c r="B100" s="58" t="s">
        <v>68</v>
      </c>
      <c r="C100" s="135" t="s">
        <v>101</v>
      </c>
      <c r="D100" s="135"/>
      <c r="E100" s="56">
        <f>5/30/12</f>
        <v>1.3888888888888888E-2</v>
      </c>
      <c r="F100" s="59">
        <f t="shared" si="2"/>
        <v>33.51658333333333</v>
      </c>
      <c r="G100" s="2"/>
    </row>
    <row r="101" spans="1:7" ht="17.25" customHeight="1">
      <c r="A101" s="2"/>
      <c r="B101" s="136" t="s">
        <v>102</v>
      </c>
      <c r="C101" s="136"/>
      <c r="D101" s="136"/>
      <c r="E101" s="60">
        <f>SUM(E95:E100)</f>
        <v>0.10462470666666668</v>
      </c>
      <c r="F101" s="61">
        <f t="shared" si="2"/>
        <v>252.47971437976003</v>
      </c>
      <c r="G101" s="2"/>
    </row>
    <row r="102" spans="1:7" ht="17.25" customHeight="1">
      <c r="A102" s="2"/>
      <c r="B102" s="18" t="s">
        <v>47</v>
      </c>
      <c r="C102" s="137" t="s">
        <v>103</v>
      </c>
      <c r="D102" s="137"/>
      <c r="E102" s="62">
        <f>E101*E57</f>
        <v>4.1640633253333344E-2</v>
      </c>
      <c r="F102" s="59">
        <f t="shared" si="2"/>
        <v>100.4869263231445</v>
      </c>
      <c r="G102" s="2"/>
    </row>
    <row r="103" spans="1:7" ht="17.25" customHeight="1">
      <c r="A103" s="2"/>
      <c r="B103" s="127" t="s">
        <v>72</v>
      </c>
      <c r="C103" s="127"/>
      <c r="D103" s="127"/>
      <c r="E103" s="60">
        <f>SUM(E101:E102)</f>
        <v>0.14626533992000001</v>
      </c>
      <c r="F103" s="41">
        <f>SUM(F101:F102)</f>
        <v>352.96664070290456</v>
      </c>
      <c r="G103" s="2"/>
    </row>
    <row r="104" spans="1:7" ht="17.25" customHeight="1">
      <c r="A104" s="2"/>
      <c r="B104" s="22"/>
      <c r="C104" s="22"/>
      <c r="D104" s="22"/>
      <c r="E104" s="22"/>
      <c r="F104" s="22"/>
      <c r="G104" s="2"/>
    </row>
    <row r="105" spans="1:7" ht="17.25" customHeight="1">
      <c r="A105" s="2"/>
      <c r="B105" s="129" t="s">
        <v>104</v>
      </c>
      <c r="C105" s="129"/>
      <c r="D105" s="129"/>
      <c r="E105" s="37"/>
      <c r="F105" s="63"/>
      <c r="G105" s="2"/>
    </row>
    <row r="106" spans="1:7" ht="17.25" customHeight="1">
      <c r="A106" s="2"/>
      <c r="B106" s="36"/>
      <c r="C106" s="22"/>
      <c r="D106" s="22"/>
      <c r="E106" s="22"/>
      <c r="F106" s="22"/>
      <c r="G106" s="2"/>
    </row>
    <row r="107" spans="1:7" ht="17.25" customHeight="1">
      <c r="A107" s="2"/>
      <c r="B107" s="30" t="s">
        <v>105</v>
      </c>
      <c r="C107" s="138" t="s">
        <v>106</v>
      </c>
      <c r="D107" s="138"/>
      <c r="E107" s="55" t="s">
        <v>62</v>
      </c>
      <c r="F107" s="30" t="s">
        <v>40</v>
      </c>
      <c r="G107" s="2"/>
    </row>
    <row r="108" spans="1:7" ht="17.25" customHeight="1">
      <c r="A108" s="2"/>
      <c r="B108" s="31" t="s">
        <v>18</v>
      </c>
      <c r="C108" s="128" t="s">
        <v>107</v>
      </c>
      <c r="D108" s="128"/>
      <c r="E108" s="56">
        <v>0</v>
      </c>
      <c r="F108" s="59">
        <f>E108*F32</f>
        <v>0</v>
      </c>
      <c r="G108" s="2"/>
    </row>
    <row r="109" spans="1:7" ht="17.25" customHeight="1">
      <c r="A109" s="2"/>
      <c r="B109" s="138" t="s">
        <v>51</v>
      </c>
      <c r="C109" s="138"/>
      <c r="D109" s="138"/>
      <c r="E109" s="60">
        <f>SUM(E108)</f>
        <v>0</v>
      </c>
      <c r="F109" s="61">
        <f>SUM(F108)</f>
        <v>0</v>
      </c>
      <c r="G109" s="2"/>
    </row>
    <row r="110" spans="1:7" ht="17.25" customHeight="1">
      <c r="A110" s="2"/>
      <c r="B110" s="22"/>
      <c r="C110" s="22"/>
      <c r="D110" s="22"/>
      <c r="E110" s="22"/>
      <c r="F110" s="22"/>
      <c r="G110" s="2"/>
    </row>
    <row r="111" spans="1:7" ht="17.25" customHeight="1">
      <c r="A111" s="2"/>
      <c r="B111" s="133" t="s">
        <v>108</v>
      </c>
      <c r="C111" s="133"/>
      <c r="D111" s="133"/>
      <c r="E111" s="133"/>
      <c r="F111" s="133"/>
      <c r="G111" s="2"/>
    </row>
    <row r="112" spans="1:7" ht="17.25" customHeight="1">
      <c r="A112" s="2"/>
      <c r="B112" s="36"/>
      <c r="C112" s="22"/>
      <c r="D112" s="22"/>
      <c r="E112" s="22"/>
      <c r="F112" s="22"/>
      <c r="G112" s="2"/>
    </row>
    <row r="113" spans="1:7" ht="17.25" customHeight="1">
      <c r="A113" s="2"/>
      <c r="B113" s="30">
        <v>4</v>
      </c>
      <c r="C113" s="127" t="s">
        <v>109</v>
      </c>
      <c r="D113" s="127"/>
      <c r="E113" s="127"/>
      <c r="F113" s="30" t="s">
        <v>40</v>
      </c>
      <c r="G113" s="2"/>
    </row>
    <row r="114" spans="1:7" ht="17.25" customHeight="1">
      <c r="A114" s="2"/>
      <c r="B114" s="31" t="s">
        <v>94</v>
      </c>
      <c r="C114" s="130" t="s">
        <v>110</v>
      </c>
      <c r="D114" s="130"/>
      <c r="E114" s="130"/>
      <c r="F114" s="33">
        <f>F103</f>
        <v>352.96664070290456</v>
      </c>
      <c r="G114" s="2"/>
    </row>
    <row r="115" spans="1:7" ht="17.25" customHeight="1">
      <c r="A115" s="2"/>
      <c r="B115" s="31" t="s">
        <v>105</v>
      </c>
      <c r="C115" s="130" t="s">
        <v>106</v>
      </c>
      <c r="D115" s="130"/>
      <c r="E115" s="130"/>
      <c r="F115" s="33">
        <f>F109</f>
        <v>0</v>
      </c>
      <c r="G115" s="2"/>
    </row>
    <row r="116" spans="1:7" ht="17.25" customHeight="1">
      <c r="A116" s="2"/>
      <c r="B116" s="127" t="s">
        <v>51</v>
      </c>
      <c r="C116" s="127"/>
      <c r="D116" s="127"/>
      <c r="E116" s="127"/>
      <c r="F116" s="35">
        <f>SUM(F114:F115)</f>
        <v>352.96664070290456</v>
      </c>
      <c r="G116" s="2"/>
    </row>
    <row r="117" spans="1:7" ht="17.25" customHeight="1">
      <c r="A117" s="2"/>
      <c r="B117" s="22"/>
      <c r="C117" s="22"/>
      <c r="D117" s="22"/>
      <c r="E117" s="22"/>
      <c r="F117" s="22"/>
      <c r="G117" s="2"/>
    </row>
    <row r="118" spans="1:7" ht="17.25" customHeight="1">
      <c r="A118" s="2"/>
      <c r="B118" s="22"/>
      <c r="C118" s="22"/>
      <c r="D118" s="22"/>
      <c r="E118" s="22"/>
      <c r="F118" s="22"/>
      <c r="G118" s="2"/>
    </row>
    <row r="119" spans="1:7" ht="17.25" customHeight="1">
      <c r="A119" s="2"/>
      <c r="B119" s="126" t="s">
        <v>111</v>
      </c>
      <c r="C119" s="126"/>
      <c r="D119" s="126"/>
      <c r="E119" s="126"/>
      <c r="F119" s="126"/>
      <c r="G119" s="2"/>
    </row>
    <row r="120" spans="1:7" ht="17.25" customHeight="1">
      <c r="A120" s="2"/>
      <c r="B120" s="22"/>
      <c r="C120" s="22"/>
      <c r="D120" s="22"/>
      <c r="E120" s="22"/>
      <c r="F120" s="22"/>
      <c r="G120" s="2"/>
    </row>
    <row r="121" spans="1:7" ht="17.25" customHeight="1">
      <c r="A121" s="2"/>
      <c r="B121" s="30">
        <v>5</v>
      </c>
      <c r="C121" s="127" t="s">
        <v>112</v>
      </c>
      <c r="D121" s="127"/>
      <c r="E121" s="127"/>
      <c r="F121" s="30" t="s">
        <v>40</v>
      </c>
      <c r="G121" s="2"/>
    </row>
    <row r="122" spans="1:7" ht="17.25" customHeight="1">
      <c r="A122" s="2"/>
      <c r="B122" s="31" t="s">
        <v>18</v>
      </c>
      <c r="C122" s="130" t="s">
        <v>113</v>
      </c>
      <c r="D122" s="130"/>
      <c r="E122" s="130"/>
      <c r="F122" s="33">
        <f>Uniformes!I22</f>
        <v>136.31484233980666</v>
      </c>
      <c r="G122" s="2"/>
    </row>
    <row r="123" spans="1:7" ht="17.25" customHeight="1">
      <c r="A123" s="2"/>
      <c r="B123" s="31" t="s">
        <v>20</v>
      </c>
      <c r="C123" s="130" t="s">
        <v>114</v>
      </c>
      <c r="D123" s="130"/>
      <c r="E123" s="130"/>
      <c r="F123" s="33">
        <f>EPIs!I22</f>
        <v>69.606183167141523</v>
      </c>
      <c r="G123" s="2"/>
    </row>
    <row r="124" spans="1:7" ht="17.25" customHeight="1">
      <c r="A124" s="2"/>
      <c r="B124" s="31" t="s">
        <v>23</v>
      </c>
      <c r="C124" s="130" t="s">
        <v>115</v>
      </c>
      <c r="D124" s="130"/>
      <c r="E124" s="130"/>
      <c r="F124" s="64">
        <v>15</v>
      </c>
      <c r="G124" s="2"/>
    </row>
    <row r="125" spans="1:7" ht="17.25" customHeight="1">
      <c r="A125" s="2"/>
      <c r="B125" s="31" t="s">
        <v>25</v>
      </c>
      <c r="C125" s="130" t="s">
        <v>50</v>
      </c>
      <c r="D125" s="130"/>
      <c r="E125" s="130"/>
      <c r="F125" s="33">
        <v>0</v>
      </c>
      <c r="G125" s="2"/>
    </row>
    <row r="126" spans="1:7" ht="17.25" customHeight="1">
      <c r="A126" s="2"/>
      <c r="B126" s="127" t="s">
        <v>72</v>
      </c>
      <c r="C126" s="127"/>
      <c r="D126" s="127"/>
      <c r="E126" s="127"/>
      <c r="F126" s="35">
        <f>SUM(F122:F125)</f>
        <v>220.92102550694818</v>
      </c>
      <c r="G126" s="2"/>
    </row>
    <row r="127" spans="1:7" ht="17.25" customHeight="1">
      <c r="A127" s="2"/>
      <c r="B127" s="22"/>
      <c r="C127" s="22"/>
      <c r="D127" s="22"/>
      <c r="E127" s="22"/>
      <c r="F127" s="22"/>
      <c r="G127" s="2"/>
    </row>
    <row r="128" spans="1:7" ht="17.25" customHeight="1">
      <c r="A128" s="2"/>
      <c r="B128" s="22"/>
      <c r="C128" s="22"/>
      <c r="D128" s="22"/>
      <c r="E128" s="22"/>
      <c r="F128" s="22"/>
      <c r="G128" s="2"/>
    </row>
    <row r="129" spans="1:7" ht="17.25" customHeight="1">
      <c r="A129" s="2"/>
      <c r="B129" s="126" t="s">
        <v>116</v>
      </c>
      <c r="C129" s="126"/>
      <c r="D129" s="126"/>
      <c r="E129" s="126"/>
      <c r="F129" s="126"/>
      <c r="G129" s="2"/>
    </row>
    <row r="130" spans="1:7" ht="17.25" customHeight="1">
      <c r="A130" s="2"/>
      <c r="B130" s="22"/>
      <c r="C130" s="22"/>
      <c r="D130" s="22"/>
      <c r="E130" s="22"/>
      <c r="F130" s="22"/>
      <c r="G130" s="2"/>
    </row>
    <row r="131" spans="1:7" ht="17.25" customHeight="1">
      <c r="A131" s="2"/>
      <c r="B131" s="30">
        <v>6</v>
      </c>
      <c r="C131" s="127" t="s">
        <v>117</v>
      </c>
      <c r="D131" s="127"/>
      <c r="E131" s="30" t="s">
        <v>62</v>
      </c>
      <c r="F131" s="30" t="s">
        <v>40</v>
      </c>
      <c r="G131" s="2"/>
    </row>
    <row r="132" spans="1:7" ht="17.25" customHeight="1">
      <c r="A132" s="2"/>
      <c r="B132" s="31" t="s">
        <v>18</v>
      </c>
      <c r="C132" s="130" t="s">
        <v>118</v>
      </c>
      <c r="D132" s="130"/>
      <c r="E132" s="65">
        <v>0.06</v>
      </c>
      <c r="F132" s="66">
        <f>F149*E132</f>
        <v>279.17604591859117</v>
      </c>
      <c r="G132" s="2"/>
    </row>
    <row r="133" spans="1:7" ht="17.25" customHeight="1">
      <c r="A133" s="2"/>
      <c r="B133" s="31" t="s">
        <v>20</v>
      </c>
      <c r="C133" s="130" t="s">
        <v>119</v>
      </c>
      <c r="D133" s="130"/>
      <c r="E133" s="67">
        <v>6.7900000000000002E-2</v>
      </c>
      <c r="F133" s="54">
        <f>E133*(F149+F132)</f>
        <v>334.89027881574464</v>
      </c>
      <c r="G133" s="2"/>
    </row>
    <row r="134" spans="1:7" ht="17.25" customHeight="1">
      <c r="A134" s="2"/>
      <c r="B134" s="31" t="s">
        <v>23</v>
      </c>
      <c r="C134" s="130" t="s">
        <v>120</v>
      </c>
      <c r="D134" s="130"/>
      <c r="E134" s="67">
        <f>SUM(E135:E137)</f>
        <v>8.6499999999999994E-2</v>
      </c>
      <c r="F134" s="54">
        <f>((F149+F132+F133)/(1-E134))*E134</f>
        <v>498.73621961921793</v>
      </c>
      <c r="G134" s="2"/>
    </row>
    <row r="135" spans="1:7" ht="17.25" customHeight="1">
      <c r="A135" s="2"/>
      <c r="B135" s="31"/>
      <c r="C135" s="130" t="s">
        <v>121</v>
      </c>
      <c r="D135" s="130"/>
      <c r="E135" s="68">
        <f>3.65%</f>
        <v>3.6499999999999998E-2</v>
      </c>
      <c r="F135" s="54">
        <f>((F149+F132+F133)/(1-E134))*E135</f>
        <v>210.44938746938098</v>
      </c>
      <c r="G135" s="2"/>
    </row>
    <row r="136" spans="1:7" ht="17.25" customHeight="1">
      <c r="A136" s="2"/>
      <c r="B136" s="31"/>
      <c r="C136" s="130" t="s">
        <v>122</v>
      </c>
      <c r="D136" s="130"/>
      <c r="E136" s="67">
        <v>0</v>
      </c>
      <c r="F136" s="54">
        <f>((F149+F132+F133)/(1-E134))*E136</f>
        <v>0</v>
      </c>
      <c r="G136" s="2"/>
    </row>
    <row r="137" spans="1:7" ht="17.25" customHeight="1">
      <c r="A137" s="2"/>
      <c r="B137" s="31"/>
      <c r="C137" s="130" t="s">
        <v>123</v>
      </c>
      <c r="D137" s="130"/>
      <c r="E137" s="67">
        <v>0.05</v>
      </c>
      <c r="F137" s="54">
        <f>((F149+F132+F133)/(1-E134))*E137</f>
        <v>288.28683214983698</v>
      </c>
      <c r="G137" s="2"/>
    </row>
    <row r="138" spans="1:7" ht="17.25" customHeight="1">
      <c r="A138" s="2"/>
      <c r="B138" s="127" t="s">
        <v>72</v>
      </c>
      <c r="C138" s="127"/>
      <c r="D138" s="127"/>
      <c r="E138" s="43">
        <f>SUM(E132:E134)</f>
        <v>0.21440000000000001</v>
      </c>
      <c r="F138" s="35">
        <f>SUM(F132:F137)</f>
        <v>1611.5387639727717</v>
      </c>
      <c r="G138" s="2"/>
    </row>
    <row r="139" spans="1:7" ht="17.25" customHeight="1">
      <c r="A139" s="2"/>
      <c r="B139" s="22"/>
      <c r="C139" s="22"/>
      <c r="D139" s="22"/>
      <c r="E139" s="22"/>
      <c r="F139" s="22"/>
      <c r="G139" s="2"/>
    </row>
    <row r="140" spans="1:7" ht="17.25" customHeight="1">
      <c r="A140" s="2"/>
      <c r="B140" s="22"/>
      <c r="C140" s="22"/>
      <c r="D140" s="22"/>
      <c r="E140" s="22"/>
      <c r="F140" s="22"/>
      <c r="G140" s="2"/>
    </row>
    <row r="141" spans="1:7" ht="17.25" customHeight="1">
      <c r="A141" s="2"/>
      <c r="B141" s="126" t="s">
        <v>124</v>
      </c>
      <c r="C141" s="126"/>
      <c r="D141" s="126"/>
      <c r="E141" s="126"/>
      <c r="F141" s="126"/>
      <c r="G141" s="2"/>
    </row>
    <row r="142" spans="1:7" ht="17.25" customHeight="1">
      <c r="A142" s="2"/>
      <c r="B142" s="22"/>
      <c r="C142" s="22"/>
      <c r="D142" s="22"/>
      <c r="E142" s="22"/>
      <c r="F142" s="22"/>
      <c r="G142" s="2"/>
    </row>
    <row r="143" spans="1:7" ht="17.25" customHeight="1">
      <c r="A143" s="2"/>
      <c r="B143" s="30"/>
      <c r="C143" s="127" t="s">
        <v>125</v>
      </c>
      <c r="D143" s="127"/>
      <c r="E143" s="127"/>
      <c r="F143" s="30" t="s">
        <v>40</v>
      </c>
      <c r="G143" s="2"/>
    </row>
    <row r="144" spans="1:7" ht="17.25" customHeight="1">
      <c r="A144" s="2"/>
      <c r="B144" s="30" t="s">
        <v>18</v>
      </c>
      <c r="C144" s="130" t="s">
        <v>38</v>
      </c>
      <c r="D144" s="130"/>
      <c r="E144" s="130"/>
      <c r="F144" s="33">
        <f>F32</f>
        <v>2413.194</v>
      </c>
      <c r="G144" s="2"/>
    </row>
    <row r="145" spans="1:7" ht="17.25" customHeight="1">
      <c r="A145" s="2"/>
      <c r="B145" s="30" t="s">
        <v>20</v>
      </c>
      <c r="C145" s="130" t="s">
        <v>52</v>
      </c>
      <c r="D145" s="130"/>
      <c r="E145" s="130"/>
      <c r="F145" s="33">
        <f>F75</f>
        <v>1504.8789860000002</v>
      </c>
      <c r="G145" s="2"/>
    </row>
    <row r="146" spans="1:7" ht="17.25" customHeight="1">
      <c r="A146" s="2"/>
      <c r="B146" s="30" t="s">
        <v>23</v>
      </c>
      <c r="C146" s="130" t="s">
        <v>84</v>
      </c>
      <c r="D146" s="130"/>
      <c r="E146" s="130"/>
      <c r="F146" s="33">
        <f>F87</f>
        <v>160.97344643333332</v>
      </c>
      <c r="G146" s="2"/>
    </row>
    <row r="147" spans="1:7" ht="17.25" customHeight="1">
      <c r="A147" s="2"/>
      <c r="B147" s="30" t="s">
        <v>25</v>
      </c>
      <c r="C147" s="130" t="s">
        <v>92</v>
      </c>
      <c r="D147" s="130"/>
      <c r="E147" s="130"/>
      <c r="F147" s="33">
        <f>F116</f>
        <v>352.96664070290456</v>
      </c>
      <c r="G147" s="2"/>
    </row>
    <row r="148" spans="1:7" ht="17.25" customHeight="1">
      <c r="A148" s="2"/>
      <c r="B148" s="30" t="s">
        <v>45</v>
      </c>
      <c r="C148" s="130" t="s">
        <v>111</v>
      </c>
      <c r="D148" s="130"/>
      <c r="E148" s="130"/>
      <c r="F148" s="33">
        <f>F126</f>
        <v>220.92102550694818</v>
      </c>
      <c r="G148" s="2"/>
    </row>
    <row r="149" spans="1:7" ht="17.25" customHeight="1">
      <c r="A149" s="2"/>
      <c r="B149" s="127" t="s">
        <v>126</v>
      </c>
      <c r="C149" s="127"/>
      <c r="D149" s="127"/>
      <c r="E149" s="127"/>
      <c r="F149" s="41">
        <f>SUM(F144:F148)</f>
        <v>4652.9340986431862</v>
      </c>
      <c r="G149" s="2"/>
    </row>
    <row r="150" spans="1:7" ht="17.25" customHeight="1">
      <c r="A150" s="2"/>
      <c r="B150" s="30" t="s">
        <v>68</v>
      </c>
      <c r="C150" s="130" t="s">
        <v>127</v>
      </c>
      <c r="D150" s="130"/>
      <c r="E150" s="130"/>
      <c r="F150" s="33">
        <f>F138</f>
        <v>1611.5387639727717</v>
      </c>
      <c r="G150" s="2"/>
    </row>
    <row r="151" spans="1:7" ht="17.25" customHeight="1">
      <c r="A151" s="2"/>
      <c r="B151" s="127" t="s">
        <v>128</v>
      </c>
      <c r="C151" s="127"/>
      <c r="D151" s="127"/>
      <c r="E151" s="127"/>
      <c r="F151" s="41">
        <f>TRUNC(SUM(F149:F150),2)</f>
        <v>6264.47</v>
      </c>
      <c r="G151" s="2"/>
    </row>
    <row r="152" spans="1:7" ht="17.25" customHeight="1">
      <c r="A152" s="2"/>
      <c r="B152" s="22"/>
      <c r="C152" s="22"/>
      <c r="D152" s="22"/>
      <c r="E152" s="22"/>
      <c r="F152" s="22"/>
      <c r="G152" s="2"/>
    </row>
    <row r="153" spans="1:7" ht="17.25" customHeight="1">
      <c r="A153" s="2"/>
      <c r="B153" s="22"/>
      <c r="C153" s="22"/>
      <c r="D153" s="22"/>
      <c r="E153" s="22"/>
      <c r="F153" s="22"/>
      <c r="G153" s="2"/>
    </row>
  </sheetData>
  <mergeCells count="109">
    <mergeCell ref="B151:E151"/>
    <mergeCell ref="B138:D138"/>
    <mergeCell ref="B141:F141"/>
    <mergeCell ref="C143:E143"/>
    <mergeCell ref="C144:E144"/>
    <mergeCell ref="C145:E145"/>
    <mergeCell ref="C146:E146"/>
    <mergeCell ref="C147:E147"/>
    <mergeCell ref="C148:E148"/>
    <mergeCell ref="B149:E149"/>
    <mergeCell ref="B129:F129"/>
    <mergeCell ref="C131:D131"/>
    <mergeCell ref="C132:D132"/>
    <mergeCell ref="C133:D133"/>
    <mergeCell ref="C134:D134"/>
    <mergeCell ref="C135:D135"/>
    <mergeCell ref="C136:D136"/>
    <mergeCell ref="C137:D137"/>
    <mergeCell ref="C150:E150"/>
    <mergeCell ref="C115:E115"/>
    <mergeCell ref="B116:E116"/>
    <mergeCell ref="B119:F119"/>
    <mergeCell ref="C121:E121"/>
    <mergeCell ref="C122:E122"/>
    <mergeCell ref="C123:E123"/>
    <mergeCell ref="C124:E124"/>
    <mergeCell ref="C125:E125"/>
    <mergeCell ref="B126:E126"/>
    <mergeCell ref="C102:D102"/>
    <mergeCell ref="B103:D103"/>
    <mergeCell ref="B105:D105"/>
    <mergeCell ref="C107:D107"/>
    <mergeCell ref="C108:D108"/>
    <mergeCell ref="B109:D109"/>
    <mergeCell ref="B111:F111"/>
    <mergeCell ref="C113:E113"/>
    <mergeCell ref="C114:E114"/>
    <mergeCell ref="B92:F92"/>
    <mergeCell ref="C94:D94"/>
    <mergeCell ref="C95:D95"/>
    <mergeCell ref="C96:D96"/>
    <mergeCell ref="C97:D97"/>
    <mergeCell ref="C98:D98"/>
    <mergeCell ref="C99:D99"/>
    <mergeCell ref="C100:D100"/>
    <mergeCell ref="B101:D101"/>
    <mergeCell ref="C80:D80"/>
    <mergeCell ref="C81:D81"/>
    <mergeCell ref="C82:D82"/>
    <mergeCell ref="C83:D83"/>
    <mergeCell ref="C84:D84"/>
    <mergeCell ref="C85:D85"/>
    <mergeCell ref="C86:D86"/>
    <mergeCell ref="B87:D87"/>
    <mergeCell ref="B90:F90"/>
    <mergeCell ref="C66:E66"/>
    <mergeCell ref="B67:E67"/>
    <mergeCell ref="B69:F69"/>
    <mergeCell ref="C71:E71"/>
    <mergeCell ref="C72:E72"/>
    <mergeCell ref="C73:E73"/>
    <mergeCell ref="C74:E74"/>
    <mergeCell ref="B75:E75"/>
    <mergeCell ref="B78:F78"/>
    <mergeCell ref="C51:D51"/>
    <mergeCell ref="C52:D52"/>
    <mergeCell ref="C53:D53"/>
    <mergeCell ref="C54:D54"/>
    <mergeCell ref="C55:D55"/>
    <mergeCell ref="C56:D56"/>
    <mergeCell ref="B57:D57"/>
    <mergeCell ref="B59:F59"/>
    <mergeCell ref="C65:E65"/>
    <mergeCell ref="C39:E39"/>
    <mergeCell ref="C40:E40"/>
    <mergeCell ref="C41:E41"/>
    <mergeCell ref="B42:E42"/>
    <mergeCell ref="B44:E44"/>
    <mergeCell ref="B46:F46"/>
    <mergeCell ref="C48:D48"/>
    <mergeCell ref="C49:D49"/>
    <mergeCell ref="C50:D50"/>
    <mergeCell ref="C26:D26"/>
    <mergeCell ref="C27:D27"/>
    <mergeCell ref="C28:D28"/>
    <mergeCell ref="C29:D29"/>
    <mergeCell ref="C30:D30"/>
    <mergeCell ref="C31:D31"/>
    <mergeCell ref="B32:E32"/>
    <mergeCell ref="B35:F35"/>
    <mergeCell ref="B37:F37"/>
    <mergeCell ref="D14:F14"/>
    <mergeCell ref="D15:F15"/>
    <mergeCell ref="D16:F16"/>
    <mergeCell ref="D17:F17"/>
    <mergeCell ref="D18:F18"/>
    <mergeCell ref="D19:F19"/>
    <mergeCell ref="B22:F22"/>
    <mergeCell ref="C24:E24"/>
    <mergeCell ref="C25:D25"/>
    <mergeCell ref="B2:F2"/>
    <mergeCell ref="B3:F3"/>
    <mergeCell ref="B4:F4"/>
    <mergeCell ref="B6:F6"/>
    <mergeCell ref="D8:F8"/>
    <mergeCell ref="D9:F9"/>
    <mergeCell ref="D10:F10"/>
    <mergeCell ref="D11:F11"/>
    <mergeCell ref="D13:F13"/>
  </mergeCells>
  <pageMargins left="0.7" right="0.7" top="0.75" bottom="0.75" header="0.511811023622047" footer="0.511811023622047"/>
  <pageSetup paperSize="9" scale="73" fitToHeight="0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"/>
  <sheetViews>
    <sheetView tabSelected="1" topLeftCell="A7" zoomScaleNormal="100" workbookViewId="0">
      <selection activeCell="B2" sqref="B2:G2"/>
    </sheetView>
  </sheetViews>
  <sheetFormatPr defaultColWidth="8.7109375" defaultRowHeight="15.75"/>
  <cols>
    <col min="1" max="1" width="3.140625" style="2" customWidth="1"/>
    <col min="2" max="2" width="9.140625" style="69" customWidth="1"/>
    <col min="3" max="3" width="49.28515625" style="69" customWidth="1"/>
    <col min="4" max="9" width="14.28515625" style="69" customWidth="1"/>
    <col min="10" max="10" width="3.140625" style="2" customWidth="1"/>
  </cols>
  <sheetData>
    <row r="1" spans="1:10">
      <c r="B1" s="140" t="s">
        <v>187</v>
      </c>
      <c r="C1" s="140"/>
      <c r="D1" s="140"/>
      <c r="E1" s="140"/>
      <c r="F1" s="140"/>
      <c r="G1" s="140"/>
      <c r="H1" s="140"/>
      <c r="I1" s="140"/>
    </row>
    <row r="2" spans="1:10">
      <c r="B2" s="140" t="s">
        <v>1</v>
      </c>
      <c r="C2" s="140"/>
      <c r="D2" s="140"/>
      <c r="E2" s="140"/>
      <c r="F2" s="140"/>
      <c r="G2" s="140"/>
      <c r="H2" s="140"/>
      <c r="I2" s="140"/>
    </row>
    <row r="3" spans="1:10">
      <c r="B3" s="141" t="s">
        <v>2</v>
      </c>
      <c r="C3" s="141"/>
      <c r="D3" s="141"/>
      <c r="E3" s="141"/>
      <c r="F3" s="141"/>
      <c r="G3" s="141"/>
      <c r="H3" s="141"/>
      <c r="I3" s="141"/>
    </row>
    <row r="4" spans="1:10">
      <c r="B4" s="71"/>
      <c r="C4" s="71"/>
      <c r="D4" s="71"/>
      <c r="E4" s="71"/>
      <c r="F4" s="71"/>
      <c r="G4" s="71"/>
      <c r="H4" s="71"/>
      <c r="I4" s="71"/>
    </row>
    <row r="5" spans="1:10">
      <c r="B5" s="141" t="s">
        <v>3</v>
      </c>
      <c r="C5" s="141"/>
      <c r="D5" s="141"/>
      <c r="E5" s="141"/>
      <c r="F5" s="141"/>
      <c r="G5" s="141"/>
      <c r="H5" s="141"/>
      <c r="I5" s="141"/>
    </row>
    <row r="6" spans="1:10">
      <c r="B6" s="71"/>
      <c r="C6" s="71"/>
      <c r="D6" s="71"/>
      <c r="E6" s="71"/>
      <c r="F6" s="71"/>
      <c r="G6" s="71"/>
      <c r="H6" s="71"/>
      <c r="I6" s="71"/>
    </row>
    <row r="7" spans="1:10" ht="15">
      <c r="B7" s="126" t="s">
        <v>113</v>
      </c>
      <c r="C7" s="126"/>
      <c r="D7" s="126"/>
      <c r="E7" s="126"/>
      <c r="F7" s="126"/>
      <c r="G7" s="126"/>
      <c r="H7" s="126"/>
      <c r="I7" s="126"/>
    </row>
    <row r="8" spans="1:10">
      <c r="A8" s="8"/>
      <c r="J8" s="8"/>
    </row>
    <row r="9" spans="1:10" ht="47.25">
      <c r="B9" s="72" t="s">
        <v>129</v>
      </c>
      <c r="C9" s="72" t="s">
        <v>130</v>
      </c>
      <c r="D9" s="73" t="s">
        <v>131</v>
      </c>
      <c r="E9" s="73" t="s">
        <v>132</v>
      </c>
      <c r="F9" s="72" t="s">
        <v>133</v>
      </c>
      <c r="G9" s="72" t="s">
        <v>134</v>
      </c>
      <c r="H9" s="72" t="s">
        <v>135</v>
      </c>
      <c r="I9" s="72" t="s">
        <v>136</v>
      </c>
    </row>
    <row r="10" spans="1:10" ht="31.5">
      <c r="A10" s="14"/>
      <c r="B10" s="74">
        <v>1</v>
      </c>
      <c r="C10" s="75" t="s">
        <v>137</v>
      </c>
      <c r="D10" s="76">
        <v>1</v>
      </c>
      <c r="E10" s="76">
        <v>2</v>
      </c>
      <c r="F10" s="76">
        <f t="shared" ref="F10:F21" si="0">D10*E10</f>
        <v>2</v>
      </c>
      <c r="G10" s="77">
        <v>110.662222222222</v>
      </c>
      <c r="H10" s="78">
        <f t="shared" ref="H10:H21" si="1">F10*G10</f>
        <v>221.324444444444</v>
      </c>
      <c r="I10" s="79">
        <f t="shared" ref="I10:I21" si="2">H10/12</f>
        <v>18.443703703703665</v>
      </c>
      <c r="J10" s="14"/>
    </row>
    <row r="11" spans="1:10">
      <c r="A11" s="14"/>
      <c r="B11" s="74">
        <v>2</v>
      </c>
      <c r="C11" s="75" t="s">
        <v>138</v>
      </c>
      <c r="D11" s="76">
        <v>1</v>
      </c>
      <c r="E11" s="76">
        <v>2</v>
      </c>
      <c r="F11" s="76">
        <f t="shared" si="0"/>
        <v>2</v>
      </c>
      <c r="G11" s="77">
        <v>52.878</v>
      </c>
      <c r="H11" s="78">
        <f t="shared" si="1"/>
        <v>105.756</v>
      </c>
      <c r="I11" s="79">
        <f t="shared" si="2"/>
        <v>8.8130000000000006</v>
      </c>
      <c r="J11" s="14"/>
    </row>
    <row r="12" spans="1:10" ht="31.5">
      <c r="B12" s="74">
        <v>3</v>
      </c>
      <c r="C12" s="75" t="s">
        <v>139</v>
      </c>
      <c r="D12" s="76">
        <v>2</v>
      </c>
      <c r="E12" s="76">
        <v>2</v>
      </c>
      <c r="F12" s="76">
        <f t="shared" si="0"/>
        <v>4</v>
      </c>
      <c r="G12" s="77">
        <v>29.176315789473701</v>
      </c>
      <c r="H12" s="78">
        <f t="shared" si="1"/>
        <v>116.70526315789481</v>
      </c>
      <c r="I12" s="79">
        <f t="shared" si="2"/>
        <v>9.7254385964912338</v>
      </c>
    </row>
    <row r="13" spans="1:10" ht="31.5">
      <c r="B13" s="74">
        <v>4</v>
      </c>
      <c r="C13" s="75" t="s">
        <v>140</v>
      </c>
      <c r="D13" s="76">
        <v>1</v>
      </c>
      <c r="E13" s="76">
        <v>2</v>
      </c>
      <c r="F13" s="76">
        <f t="shared" si="0"/>
        <v>2</v>
      </c>
      <c r="G13" s="77">
        <v>76.017058823529396</v>
      </c>
      <c r="H13" s="78">
        <f t="shared" si="1"/>
        <v>152.03411764705879</v>
      </c>
      <c r="I13" s="79">
        <f t="shared" si="2"/>
        <v>12.669509803921565</v>
      </c>
    </row>
    <row r="14" spans="1:10">
      <c r="B14" s="74">
        <v>5</v>
      </c>
      <c r="C14" s="75" t="s">
        <v>141</v>
      </c>
      <c r="D14" s="76">
        <v>1</v>
      </c>
      <c r="E14" s="76">
        <v>2</v>
      </c>
      <c r="F14" s="76">
        <f t="shared" si="0"/>
        <v>2</v>
      </c>
      <c r="G14" s="77">
        <v>87.195909090909097</v>
      </c>
      <c r="H14" s="78">
        <f t="shared" si="1"/>
        <v>174.39181818181819</v>
      </c>
      <c r="I14" s="79">
        <f t="shared" si="2"/>
        <v>14.532651515151516</v>
      </c>
    </row>
    <row r="15" spans="1:10">
      <c r="B15" s="74">
        <v>6</v>
      </c>
      <c r="C15" s="75" t="s">
        <v>142</v>
      </c>
      <c r="D15" s="76">
        <v>1</v>
      </c>
      <c r="E15" s="76">
        <v>2</v>
      </c>
      <c r="F15" s="76">
        <f t="shared" si="0"/>
        <v>2</v>
      </c>
      <c r="G15" s="77">
        <v>99.96</v>
      </c>
      <c r="H15" s="78">
        <f t="shared" si="1"/>
        <v>199.92</v>
      </c>
      <c r="I15" s="79">
        <f t="shared" si="2"/>
        <v>16.66</v>
      </c>
    </row>
    <row r="16" spans="1:10" ht="47.25">
      <c r="B16" s="74">
        <v>7</v>
      </c>
      <c r="C16" s="75" t="s">
        <v>143</v>
      </c>
      <c r="D16" s="76">
        <v>1</v>
      </c>
      <c r="E16" s="76">
        <v>1</v>
      </c>
      <c r="F16" s="76">
        <f t="shared" si="0"/>
        <v>1</v>
      </c>
      <c r="G16" s="77">
        <v>247.46111111111099</v>
      </c>
      <c r="H16" s="78">
        <f t="shared" si="1"/>
        <v>247.46111111111099</v>
      </c>
      <c r="I16" s="79">
        <f t="shared" si="2"/>
        <v>20.62175925925925</v>
      </c>
    </row>
    <row r="17" spans="2:9">
      <c r="B17" s="74">
        <v>8</v>
      </c>
      <c r="C17" s="75" t="s">
        <v>144</v>
      </c>
      <c r="D17" s="76">
        <v>1</v>
      </c>
      <c r="E17" s="76">
        <v>1</v>
      </c>
      <c r="F17" s="76">
        <f t="shared" si="0"/>
        <v>1</v>
      </c>
      <c r="G17" s="77">
        <v>94.874444444444507</v>
      </c>
      <c r="H17" s="78">
        <f t="shared" si="1"/>
        <v>94.874444444444507</v>
      </c>
      <c r="I17" s="79">
        <f t="shared" si="2"/>
        <v>7.9062037037037092</v>
      </c>
    </row>
    <row r="18" spans="2:9" ht="94.5">
      <c r="B18" s="74">
        <v>9</v>
      </c>
      <c r="C18" s="75" t="s">
        <v>145</v>
      </c>
      <c r="D18" s="76">
        <v>1</v>
      </c>
      <c r="E18" s="76">
        <v>2</v>
      </c>
      <c r="F18" s="76">
        <f t="shared" si="0"/>
        <v>2</v>
      </c>
      <c r="G18" s="77">
        <v>94.64</v>
      </c>
      <c r="H18" s="78">
        <f t="shared" si="1"/>
        <v>189.28</v>
      </c>
      <c r="I18" s="79">
        <f t="shared" si="2"/>
        <v>15.773333333333333</v>
      </c>
    </row>
    <row r="19" spans="2:9">
      <c r="B19" s="74">
        <v>10</v>
      </c>
      <c r="C19" s="75" t="s">
        <v>146</v>
      </c>
      <c r="D19" s="76">
        <v>3</v>
      </c>
      <c r="E19" s="76">
        <v>2</v>
      </c>
      <c r="F19" s="76">
        <f t="shared" si="0"/>
        <v>6</v>
      </c>
      <c r="G19" s="77">
        <v>15.063333333333301</v>
      </c>
      <c r="H19" s="78">
        <f t="shared" si="1"/>
        <v>90.379999999999797</v>
      </c>
      <c r="I19" s="79">
        <f t="shared" si="2"/>
        <v>7.5316666666666494</v>
      </c>
    </row>
    <row r="20" spans="2:9" ht="31.5">
      <c r="B20" s="74">
        <v>11</v>
      </c>
      <c r="C20" s="75" t="s">
        <v>147</v>
      </c>
      <c r="D20" s="76">
        <v>1</v>
      </c>
      <c r="E20" s="76">
        <v>1</v>
      </c>
      <c r="F20" s="76">
        <f t="shared" si="0"/>
        <v>1</v>
      </c>
      <c r="G20" s="77">
        <v>37.090909090909101</v>
      </c>
      <c r="H20" s="78">
        <f t="shared" si="1"/>
        <v>37.090909090909101</v>
      </c>
      <c r="I20" s="79">
        <f t="shared" si="2"/>
        <v>3.0909090909090917</v>
      </c>
    </row>
    <row r="21" spans="2:9">
      <c r="B21" s="74">
        <v>12</v>
      </c>
      <c r="C21" s="75" t="s">
        <v>148</v>
      </c>
      <c r="D21" s="76">
        <v>1</v>
      </c>
      <c r="E21" s="76">
        <v>1</v>
      </c>
      <c r="F21" s="76">
        <f t="shared" si="0"/>
        <v>1</v>
      </c>
      <c r="G21" s="77">
        <v>6.56</v>
      </c>
      <c r="H21" s="78">
        <f t="shared" si="1"/>
        <v>6.56</v>
      </c>
      <c r="I21" s="79">
        <f t="shared" si="2"/>
        <v>0.54666666666666663</v>
      </c>
    </row>
    <row r="22" spans="2:9" ht="15.75" customHeight="1">
      <c r="B22" s="139" t="s">
        <v>149</v>
      </c>
      <c r="C22" s="139"/>
      <c r="D22" s="139"/>
      <c r="E22" s="139"/>
      <c r="F22" s="139"/>
      <c r="G22" s="139"/>
      <c r="H22" s="139"/>
      <c r="I22" s="80">
        <f>SUM(I10:I21)</f>
        <v>136.31484233980666</v>
      </c>
    </row>
  </sheetData>
  <mergeCells count="6">
    <mergeCell ref="B22:H22"/>
    <mergeCell ref="B1:I1"/>
    <mergeCell ref="B2:I2"/>
    <mergeCell ref="B3:I3"/>
    <mergeCell ref="B5:I5"/>
    <mergeCell ref="B7:I7"/>
  </mergeCells>
  <printOptions horizontalCentered="1"/>
  <pageMargins left="0.51180555555555596" right="0.51180555555555596" top="0.78749999999999998" bottom="0.78749999999999998" header="0.511811023622047" footer="0.511811023622047"/>
  <pageSetup paperSize="9" scale="64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"/>
  <sheetViews>
    <sheetView tabSelected="1" topLeftCell="A13" zoomScale="85" zoomScaleNormal="85" workbookViewId="0">
      <selection activeCell="B2" sqref="B2:G2"/>
    </sheetView>
  </sheetViews>
  <sheetFormatPr defaultColWidth="8.7109375" defaultRowHeight="15.75"/>
  <cols>
    <col min="1" max="1" width="3.140625" style="2" customWidth="1"/>
    <col min="2" max="2" width="9.140625" style="69" customWidth="1"/>
    <col min="3" max="3" width="76.85546875" style="69" customWidth="1"/>
    <col min="4" max="9" width="15.7109375" style="69" customWidth="1"/>
    <col min="10" max="10" width="3.140625" style="2" customWidth="1"/>
  </cols>
  <sheetData>
    <row r="1" spans="1:10">
      <c r="B1" s="140" t="s">
        <v>187</v>
      </c>
      <c r="C1" s="140"/>
      <c r="D1" s="140"/>
      <c r="E1" s="140"/>
      <c r="F1" s="140"/>
      <c r="G1" s="140"/>
      <c r="H1" s="140"/>
      <c r="I1" s="140"/>
    </row>
    <row r="2" spans="1:10">
      <c r="B2" s="140" t="s">
        <v>1</v>
      </c>
      <c r="C2" s="140"/>
      <c r="D2" s="140"/>
      <c r="E2" s="140"/>
      <c r="F2" s="140"/>
      <c r="G2" s="140"/>
      <c r="H2" s="140"/>
      <c r="I2" s="140"/>
    </row>
    <row r="3" spans="1:10">
      <c r="B3" s="141" t="s">
        <v>2</v>
      </c>
      <c r="C3" s="141"/>
      <c r="D3" s="141"/>
      <c r="E3" s="141"/>
      <c r="F3" s="141"/>
      <c r="G3" s="141"/>
      <c r="H3" s="141"/>
      <c r="I3" s="141"/>
    </row>
    <row r="4" spans="1:10">
      <c r="B4" s="71"/>
      <c r="C4" s="71"/>
      <c r="D4" s="71"/>
      <c r="E4" s="71"/>
      <c r="F4" s="71"/>
      <c r="G4" s="71"/>
      <c r="H4" s="71"/>
      <c r="I4" s="71"/>
    </row>
    <row r="5" spans="1:10">
      <c r="B5" s="141" t="s">
        <v>3</v>
      </c>
      <c r="C5" s="141"/>
      <c r="D5" s="141"/>
      <c r="E5" s="141"/>
      <c r="F5" s="141"/>
      <c r="G5" s="141"/>
      <c r="H5" s="141"/>
      <c r="I5" s="141"/>
    </row>
    <row r="6" spans="1:10">
      <c r="B6" s="71"/>
      <c r="C6" s="71"/>
      <c r="D6" s="71"/>
      <c r="E6" s="71"/>
      <c r="F6" s="71"/>
      <c r="G6" s="71"/>
      <c r="H6" s="71"/>
      <c r="I6" s="71"/>
    </row>
    <row r="7" spans="1:10" ht="15">
      <c r="B7" s="126" t="s">
        <v>150</v>
      </c>
      <c r="C7" s="126"/>
      <c r="D7" s="126"/>
      <c r="E7" s="126"/>
      <c r="F7" s="126"/>
      <c r="G7" s="126"/>
      <c r="H7" s="126"/>
      <c r="I7" s="126"/>
    </row>
    <row r="8" spans="1:10">
      <c r="A8" s="8"/>
      <c r="J8" s="8"/>
    </row>
    <row r="9" spans="1:10" ht="47.25">
      <c r="B9" s="72" t="s">
        <v>129</v>
      </c>
      <c r="C9" s="72" t="s">
        <v>130</v>
      </c>
      <c r="D9" s="73" t="s">
        <v>131</v>
      </c>
      <c r="E9" s="73" t="s">
        <v>132</v>
      </c>
      <c r="F9" s="72" t="s">
        <v>133</v>
      </c>
      <c r="G9" s="72" t="s">
        <v>134</v>
      </c>
      <c r="H9" s="72" t="s">
        <v>135</v>
      </c>
      <c r="I9" s="72" t="s">
        <v>136</v>
      </c>
    </row>
    <row r="10" spans="1:10" ht="150.75">
      <c r="A10" s="14"/>
      <c r="B10" s="74">
        <v>1</v>
      </c>
      <c r="C10" s="81" t="s">
        <v>151</v>
      </c>
      <c r="D10" s="82">
        <v>1</v>
      </c>
      <c r="E10" s="82">
        <v>1</v>
      </c>
      <c r="F10" s="82">
        <f t="shared" ref="F10:F15" si="0">D10*E10</f>
        <v>1</v>
      </c>
      <c r="G10" s="77">
        <v>225.911666666667</v>
      </c>
      <c r="H10" s="78">
        <f t="shared" ref="H10:H21" si="1">F10*G10</f>
        <v>225.911666666667</v>
      </c>
      <c r="I10" s="79">
        <f t="shared" ref="I10:I21" si="2">H10/12</f>
        <v>18.825972222222251</v>
      </c>
      <c r="J10" s="14"/>
    </row>
    <row r="11" spans="1:10" ht="45.75">
      <c r="A11" s="14"/>
      <c r="B11" s="74">
        <v>2</v>
      </c>
      <c r="C11" s="83" t="s">
        <v>152</v>
      </c>
      <c r="D11" s="76">
        <v>1</v>
      </c>
      <c r="E11" s="76">
        <v>1</v>
      </c>
      <c r="F11" s="76">
        <f t="shared" si="0"/>
        <v>1</v>
      </c>
      <c r="G11" s="77">
        <v>139.47125</v>
      </c>
      <c r="H11" s="78">
        <f t="shared" si="1"/>
        <v>139.47125</v>
      </c>
      <c r="I11" s="79">
        <f t="shared" si="2"/>
        <v>11.622604166666667</v>
      </c>
      <c r="J11" s="14"/>
    </row>
    <row r="12" spans="1:10" ht="90.75">
      <c r="A12" s="14"/>
      <c r="B12" s="74">
        <v>3</v>
      </c>
      <c r="C12" s="83" t="s">
        <v>153</v>
      </c>
      <c r="D12" s="76">
        <v>3</v>
      </c>
      <c r="E12" s="76">
        <v>1</v>
      </c>
      <c r="F12" s="76">
        <f t="shared" si="0"/>
        <v>3</v>
      </c>
      <c r="G12" s="77">
        <v>21.9583333333333</v>
      </c>
      <c r="H12" s="78">
        <f t="shared" si="1"/>
        <v>65.874999999999901</v>
      </c>
      <c r="I12" s="79">
        <f t="shared" si="2"/>
        <v>5.489583333333325</v>
      </c>
      <c r="J12" s="14"/>
    </row>
    <row r="13" spans="1:10" ht="75.75">
      <c r="B13" s="74">
        <v>4</v>
      </c>
      <c r="C13" s="81" t="s">
        <v>154</v>
      </c>
      <c r="D13" s="82">
        <v>1</v>
      </c>
      <c r="E13" s="82">
        <v>2</v>
      </c>
      <c r="F13" s="82">
        <f t="shared" si="0"/>
        <v>2</v>
      </c>
      <c r="G13" s="77">
        <v>8.4366666666666692</v>
      </c>
      <c r="H13" s="78">
        <f t="shared" si="1"/>
        <v>16.873333333333338</v>
      </c>
      <c r="I13" s="79">
        <f t="shared" si="2"/>
        <v>1.4061111111111115</v>
      </c>
    </row>
    <row r="14" spans="1:10" ht="75.75">
      <c r="B14" s="74">
        <v>5</v>
      </c>
      <c r="C14" s="83" t="s">
        <v>155</v>
      </c>
      <c r="D14" s="76">
        <v>1</v>
      </c>
      <c r="E14" s="76">
        <v>2</v>
      </c>
      <c r="F14" s="76">
        <f t="shared" si="0"/>
        <v>2</v>
      </c>
      <c r="G14" s="84">
        <v>3.3913333333333302</v>
      </c>
      <c r="H14" s="78">
        <f t="shared" si="1"/>
        <v>6.7826666666666604</v>
      </c>
      <c r="I14" s="79">
        <f t="shared" si="2"/>
        <v>0.56522222222222174</v>
      </c>
    </row>
    <row r="15" spans="1:10" ht="24.75" customHeight="1">
      <c r="B15" s="74">
        <v>6</v>
      </c>
      <c r="C15" s="83" t="s">
        <v>156</v>
      </c>
      <c r="D15" s="76">
        <v>7</v>
      </c>
      <c r="E15" s="76">
        <v>2</v>
      </c>
      <c r="F15" s="76">
        <f t="shared" si="0"/>
        <v>14</v>
      </c>
      <c r="G15" s="84">
        <v>3.7595238095238099</v>
      </c>
      <c r="H15" s="78">
        <f t="shared" si="1"/>
        <v>52.63333333333334</v>
      </c>
      <c r="I15" s="79">
        <f t="shared" si="2"/>
        <v>4.386111111111112</v>
      </c>
    </row>
    <row r="16" spans="1:10" ht="105.75">
      <c r="B16" s="74">
        <v>7</v>
      </c>
      <c r="C16" s="81" t="s">
        <v>157</v>
      </c>
      <c r="D16" s="85">
        <v>1</v>
      </c>
      <c r="E16" s="86" t="s">
        <v>158</v>
      </c>
      <c r="F16" s="87">
        <f t="shared" ref="F16:F21" si="3">D16/3</f>
        <v>0.33333333333333331</v>
      </c>
      <c r="G16" s="84">
        <v>75.836538461538495</v>
      </c>
      <c r="H16" s="78">
        <f t="shared" si="1"/>
        <v>25.278846153846164</v>
      </c>
      <c r="I16" s="79">
        <f t="shared" si="2"/>
        <v>2.1065705128205137</v>
      </c>
    </row>
    <row r="17" spans="2:9" ht="78.75">
      <c r="B17" s="74">
        <v>8</v>
      </c>
      <c r="C17" s="83" t="s">
        <v>159</v>
      </c>
      <c r="D17" s="85">
        <v>1</v>
      </c>
      <c r="E17" s="88" t="s">
        <v>158</v>
      </c>
      <c r="F17" s="87">
        <f t="shared" si="3"/>
        <v>0.33333333333333331</v>
      </c>
      <c r="G17" s="84">
        <v>198.20875000000001</v>
      </c>
      <c r="H17" s="78">
        <f t="shared" si="1"/>
        <v>66.069583333333327</v>
      </c>
      <c r="I17" s="79">
        <f t="shared" si="2"/>
        <v>5.5057986111111106</v>
      </c>
    </row>
    <row r="18" spans="2:9" ht="78.75">
      <c r="B18" s="74">
        <v>9</v>
      </c>
      <c r="C18" s="83" t="s">
        <v>160</v>
      </c>
      <c r="D18" s="85">
        <v>1</v>
      </c>
      <c r="E18" s="88" t="s">
        <v>158</v>
      </c>
      <c r="F18" s="87">
        <f t="shared" si="3"/>
        <v>0.33333333333333331</v>
      </c>
      <c r="G18" s="84">
        <v>130.485555555556</v>
      </c>
      <c r="H18" s="78">
        <f t="shared" si="1"/>
        <v>43.495185185185335</v>
      </c>
      <c r="I18" s="79">
        <f t="shared" si="2"/>
        <v>3.6245987654321112</v>
      </c>
    </row>
    <row r="19" spans="2:9" ht="78.75">
      <c r="B19" s="74">
        <v>10</v>
      </c>
      <c r="C19" s="83" t="s">
        <v>161</v>
      </c>
      <c r="D19" s="85">
        <v>3</v>
      </c>
      <c r="E19" s="88" t="s">
        <v>158</v>
      </c>
      <c r="F19" s="87">
        <f t="shared" si="3"/>
        <v>1</v>
      </c>
      <c r="G19" s="84">
        <v>92.954999999999998</v>
      </c>
      <c r="H19" s="78">
        <f t="shared" si="1"/>
        <v>92.954999999999998</v>
      </c>
      <c r="I19" s="79">
        <f t="shared" si="2"/>
        <v>7.7462499999999999</v>
      </c>
    </row>
    <row r="20" spans="2:9" ht="78.75">
      <c r="B20" s="74">
        <v>11</v>
      </c>
      <c r="C20" s="83" t="s">
        <v>162</v>
      </c>
      <c r="D20" s="85">
        <v>1</v>
      </c>
      <c r="E20" s="88" t="s">
        <v>158</v>
      </c>
      <c r="F20" s="87">
        <f t="shared" si="3"/>
        <v>0.33333333333333331</v>
      </c>
      <c r="G20" s="84">
        <v>144.91749999999999</v>
      </c>
      <c r="H20" s="78">
        <f t="shared" si="1"/>
        <v>48.305833333333325</v>
      </c>
      <c r="I20" s="79">
        <f t="shared" si="2"/>
        <v>4.0254861111111104</v>
      </c>
    </row>
    <row r="21" spans="2:9" ht="78.75">
      <c r="B21" s="74">
        <v>12</v>
      </c>
      <c r="C21" s="83" t="s">
        <v>163</v>
      </c>
      <c r="D21" s="85">
        <v>1</v>
      </c>
      <c r="E21" s="88" t="s">
        <v>158</v>
      </c>
      <c r="F21" s="87">
        <f t="shared" si="3"/>
        <v>0.33333333333333331</v>
      </c>
      <c r="G21" s="84">
        <v>154.86750000000001</v>
      </c>
      <c r="H21" s="78">
        <f t="shared" si="1"/>
        <v>51.622500000000002</v>
      </c>
      <c r="I21" s="79">
        <f t="shared" si="2"/>
        <v>4.3018749999999999</v>
      </c>
    </row>
    <row r="22" spans="2:9" ht="15" customHeight="1">
      <c r="B22" s="139" t="s">
        <v>164</v>
      </c>
      <c r="C22" s="139"/>
      <c r="D22" s="139"/>
      <c r="E22" s="139"/>
      <c r="F22" s="139"/>
      <c r="G22" s="139"/>
      <c r="H22" s="139"/>
      <c r="I22" s="80">
        <f>SUM(I10:I21)</f>
        <v>69.606183167141523</v>
      </c>
    </row>
  </sheetData>
  <mergeCells count="6">
    <mergeCell ref="B22:H22"/>
    <mergeCell ref="B1:I1"/>
    <mergeCell ref="B2:I2"/>
    <mergeCell ref="B3:I3"/>
    <mergeCell ref="B5:I5"/>
    <mergeCell ref="B7:I7"/>
  </mergeCells>
  <printOptions horizontalCentered="1"/>
  <pageMargins left="0.51180555555555596" right="0.51180555555555596" top="0.34027777777777801" bottom="0.32986111111111099" header="0.511811023622047" footer="0.511811023622047"/>
  <pageSetup paperSize="9" scale="5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22"/>
  <sheetViews>
    <sheetView tabSelected="1" zoomScaleNormal="100" workbookViewId="0">
      <selection activeCell="B2" sqref="B2:G2"/>
    </sheetView>
  </sheetViews>
  <sheetFormatPr defaultColWidth="9.140625" defaultRowHeight="15"/>
  <cols>
    <col min="1" max="1" width="3.28515625" style="89" customWidth="1"/>
    <col min="2" max="7" width="20" style="89" customWidth="1"/>
    <col min="8" max="1024" width="9.140625" style="89"/>
  </cols>
  <sheetData>
    <row r="1" spans="1:7" ht="15.75">
      <c r="A1" s="90"/>
      <c r="B1" s="140" t="s">
        <v>187</v>
      </c>
      <c r="C1" s="140"/>
      <c r="D1" s="140"/>
      <c r="E1" s="140"/>
      <c r="F1" s="140"/>
      <c r="G1" s="140"/>
    </row>
    <row r="2" spans="1:7" ht="15.75">
      <c r="A2" s="90"/>
      <c r="B2" s="140" t="s">
        <v>1</v>
      </c>
      <c r="C2" s="140"/>
      <c r="D2" s="140"/>
      <c r="E2" s="140"/>
      <c r="F2" s="140"/>
      <c r="G2" s="140"/>
    </row>
    <row r="3" spans="1:7" ht="15.75">
      <c r="A3" s="90"/>
      <c r="B3" s="141" t="s">
        <v>2</v>
      </c>
      <c r="C3" s="141"/>
      <c r="D3" s="141"/>
      <c r="E3" s="141"/>
      <c r="F3" s="141"/>
      <c r="G3" s="141"/>
    </row>
    <row r="4" spans="1:7" ht="15.75">
      <c r="A4" s="71"/>
      <c r="B4" s="71"/>
      <c r="C4" s="71"/>
      <c r="D4" s="71"/>
    </row>
    <row r="5" spans="1:7" ht="15.75" customHeight="1">
      <c r="A5" s="70"/>
      <c r="B5" s="118" t="s">
        <v>165</v>
      </c>
      <c r="C5" s="118"/>
      <c r="D5" s="118"/>
      <c r="E5" s="118"/>
      <c r="F5" s="118"/>
      <c r="G5" s="118"/>
    </row>
    <row r="7" spans="1:7">
      <c r="B7" s="142" t="s">
        <v>166</v>
      </c>
      <c r="C7" s="142"/>
      <c r="D7" s="142"/>
      <c r="E7" s="142"/>
      <c r="F7" s="142"/>
      <c r="G7" s="142"/>
    </row>
    <row r="8" spans="1:7" ht="12.75" customHeight="1">
      <c r="B8" s="91"/>
      <c r="C8" s="91"/>
      <c r="D8" s="91"/>
      <c r="E8" s="91"/>
      <c r="F8" s="91"/>
      <c r="G8" s="91"/>
    </row>
    <row r="9" spans="1:7">
      <c r="B9" s="143" t="s">
        <v>167</v>
      </c>
      <c r="C9" s="143"/>
      <c r="D9" s="143"/>
      <c r="E9" s="92" t="s">
        <v>168</v>
      </c>
      <c r="F9" s="92" t="s">
        <v>186</v>
      </c>
      <c r="G9" s="92" t="s">
        <v>169</v>
      </c>
    </row>
    <row r="10" spans="1:7">
      <c r="B10" s="144" t="s">
        <v>170</v>
      </c>
      <c r="C10" s="144"/>
      <c r="D10" s="144"/>
      <c r="E10" s="93">
        <v>6</v>
      </c>
      <c r="F10" s="94">
        <v>386.79</v>
      </c>
      <c r="G10" s="94">
        <f>E10*F10</f>
        <v>2320.7400000000002</v>
      </c>
    </row>
    <row r="11" spans="1:7">
      <c r="B11" s="146" t="s">
        <v>185</v>
      </c>
      <c r="C11" s="147"/>
      <c r="D11" s="148"/>
      <c r="E11" s="93">
        <v>6</v>
      </c>
      <c r="F11" s="94">
        <f>4.22*4</f>
        <v>16.88</v>
      </c>
      <c r="G11" s="94">
        <f t="shared" ref="G11" si="0">E11*F11</f>
        <v>101.28</v>
      </c>
    </row>
    <row r="12" spans="1:7">
      <c r="B12" s="144" t="s">
        <v>171</v>
      </c>
      <c r="C12" s="144"/>
      <c r="D12" s="144"/>
      <c r="E12" s="95">
        <v>6</v>
      </c>
      <c r="F12" s="94">
        <v>109.03</v>
      </c>
      <c r="G12" s="94">
        <f>E12*F12</f>
        <v>654.18000000000006</v>
      </c>
    </row>
    <row r="13" spans="1:7">
      <c r="B13" s="144" t="s">
        <v>172</v>
      </c>
      <c r="C13" s="144"/>
      <c r="D13" s="144"/>
      <c r="E13" s="95">
        <v>6</v>
      </c>
      <c r="F13" s="94">
        <f>36.97*2</f>
        <v>73.94</v>
      </c>
      <c r="G13" s="94">
        <f>E13*F13</f>
        <v>443.64</v>
      </c>
    </row>
    <row r="14" spans="1:7">
      <c r="B14" s="145" t="s">
        <v>173</v>
      </c>
      <c r="C14" s="145"/>
      <c r="D14" s="145"/>
      <c r="E14" s="145"/>
      <c r="F14" s="145"/>
      <c r="G14" s="96">
        <f>SUM(G10:G13)</f>
        <v>3519.8400000000006</v>
      </c>
    </row>
    <row r="15" spans="1:7" ht="15" customHeight="1">
      <c r="B15" s="149" t="s">
        <v>174</v>
      </c>
      <c r="C15" s="149"/>
      <c r="D15" s="149"/>
      <c r="E15" s="150" t="s">
        <v>175</v>
      </c>
      <c r="F15" s="150"/>
      <c r="G15" s="150"/>
    </row>
    <row r="16" spans="1:7">
      <c r="B16" s="97" t="s">
        <v>176</v>
      </c>
      <c r="C16" s="98">
        <v>0.06</v>
      </c>
      <c r="D16" s="99">
        <f>G14*C16</f>
        <v>211.19040000000004</v>
      </c>
      <c r="E16" s="100" t="s">
        <v>177</v>
      </c>
      <c r="F16" s="101">
        <v>0.05</v>
      </c>
      <c r="G16" s="102">
        <f>D19*F16</f>
        <v>227.61309115927077</v>
      </c>
    </row>
    <row r="17" spans="2:7">
      <c r="B17" s="97" t="s">
        <v>119</v>
      </c>
      <c r="C17" s="98">
        <v>6.7900000000000002E-2</v>
      </c>
      <c r="D17" s="99">
        <f>G14*C17</f>
        <v>238.99713600000004</v>
      </c>
      <c r="E17" s="100" t="s">
        <v>178</v>
      </c>
      <c r="F17" s="101">
        <v>6.4999999999999997E-3</v>
      </c>
      <c r="G17" s="102">
        <f>D19*F17</f>
        <v>29.589701850705197</v>
      </c>
    </row>
    <row r="18" spans="2:7">
      <c r="B18" s="103" t="s">
        <v>179</v>
      </c>
      <c r="C18" s="104">
        <f>SUM(C16:C17)</f>
        <v>0.12790000000000001</v>
      </c>
      <c r="D18" s="105">
        <f>SUM(D16:D17)</f>
        <v>450.18753600000008</v>
      </c>
      <c r="E18" s="100" t="s">
        <v>180</v>
      </c>
      <c r="F18" s="101">
        <v>0.03</v>
      </c>
      <c r="G18" s="102">
        <f>D19*F18</f>
        <v>136.56785469556243</v>
      </c>
    </row>
    <row r="19" spans="2:7" ht="15" customHeight="1">
      <c r="B19" s="151" t="s">
        <v>181</v>
      </c>
      <c r="C19" s="151"/>
      <c r="D19" s="106">
        <f>(D18+G14)/(1-C18)</f>
        <v>4552.2618231854149</v>
      </c>
      <c r="E19" s="107" t="s">
        <v>182</v>
      </c>
      <c r="F19" s="108">
        <f>SUM(F16:F18)</f>
        <v>8.6499999999999994E-2</v>
      </c>
      <c r="G19" s="109">
        <f>SUM(G16:G18)</f>
        <v>393.77064770553841</v>
      </c>
    </row>
    <row r="20" spans="2:7">
      <c r="B20" s="152" t="s">
        <v>183</v>
      </c>
      <c r="C20" s="152"/>
      <c r="D20" s="152"/>
      <c r="E20" s="152"/>
      <c r="F20" s="152"/>
      <c r="G20" s="110">
        <f>SUM(G14,D18,G19)</f>
        <v>4363.7981837055386</v>
      </c>
    </row>
    <row r="21" spans="2:7">
      <c r="B21" s="153" t="s">
        <v>184</v>
      </c>
      <c r="C21" s="153"/>
      <c r="D21" s="153"/>
      <c r="E21" s="153"/>
      <c r="F21" s="153"/>
      <c r="G21" s="111">
        <f>TRUNC(G20/12,2)</f>
        <v>363.64</v>
      </c>
    </row>
    <row r="22" spans="2:7" ht="12.75" customHeight="1"/>
  </sheetData>
  <mergeCells count="16">
    <mergeCell ref="B15:D15"/>
    <mergeCell ref="E15:G15"/>
    <mergeCell ref="B19:C19"/>
    <mergeCell ref="B20:F20"/>
    <mergeCell ref="B21:F21"/>
    <mergeCell ref="B9:D9"/>
    <mergeCell ref="B10:D10"/>
    <mergeCell ref="B12:D12"/>
    <mergeCell ref="B13:D13"/>
    <mergeCell ref="B14:F14"/>
    <mergeCell ref="B11:D11"/>
    <mergeCell ref="B1:G1"/>
    <mergeCell ref="B2:G2"/>
    <mergeCell ref="B3:G3"/>
    <mergeCell ref="B5:G5"/>
    <mergeCell ref="B7:G7"/>
  </mergeCells>
  <printOptions horizontalCentered="1"/>
  <pageMargins left="0.78749999999999998" right="0.78749999999999998" top="1.05277777777778" bottom="1.05277777777778" header="0.78749999999999998" footer="0.78749999999999998"/>
  <pageSetup paperSize="9" scale="71" orientation="portrait" horizontalDpi="300" verticalDpi="300" r:id="rId1"/>
  <headerFooter>
    <oddHeader>&amp;C&amp;"Times New Roman,Normal"&amp;12&amp;Kffffff&amp;A</oddHeader>
    <oddFooter>&amp;C&amp;"Times New Roman,Normal"&amp;12&amp;KffffffPage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156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5</vt:i4>
      </vt:variant>
    </vt:vector>
  </HeadingPairs>
  <TitlesOfParts>
    <vt:vector size="10" baseType="lpstr">
      <vt:lpstr>Resumo</vt:lpstr>
      <vt:lpstr>Instalador de áudio</vt:lpstr>
      <vt:lpstr>Uniformes</vt:lpstr>
      <vt:lpstr>EPIs</vt:lpstr>
      <vt:lpstr>Deslocamento</vt:lpstr>
      <vt:lpstr>Deslocamento!Area_de_impressao</vt:lpstr>
      <vt:lpstr>EPIs!Area_de_impressao</vt:lpstr>
      <vt:lpstr>'Instalador de áudio'!Area_de_impressao</vt:lpstr>
      <vt:lpstr>Resumo!Area_de_impressao</vt:lpstr>
      <vt:lpstr>Uniformes!Area_de_impressao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Alex</cp:lastModifiedBy>
  <cp:revision>14</cp:revision>
  <cp:lastPrinted>2023-05-11T12:51:02Z</cp:lastPrinted>
  <dcterms:created xsi:type="dcterms:W3CDTF">2006-09-16T00:00:00Z</dcterms:created>
  <dcterms:modified xsi:type="dcterms:W3CDTF">2023-06-30T19:55:07Z</dcterms:modified>
  <dc:language>pt-BR</dc:language>
</cp:coreProperties>
</file>