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RT Alex\2022\MINUTA - PREGÃO - 2022\PROAD 2433-2022\Edital Publicado\"/>
    </mc:Choice>
  </mc:AlternateContent>
  <bookViews>
    <workbookView xWindow="0" yWindow="0" windowWidth="16380" windowHeight="8190" tabRatio="500"/>
  </bookViews>
  <sheets>
    <sheet name="Resumo" sheetId="1" r:id="rId1"/>
    <sheet name="Manutenção Cascavel" sheetId="2" r:id="rId2"/>
    <sheet name="Eletricista Cascavel" sheetId="3" r:id="rId3"/>
    <sheet name="Manutenção Curitiba" sheetId="4" r:id="rId4"/>
    <sheet name="Eletricista Curitiba" sheetId="5" r:id="rId5"/>
    <sheet name="Manutenção Maringá" sheetId="6" r:id="rId6"/>
    <sheet name="Eletricista Maringá" sheetId="7" r:id="rId7"/>
    <sheet name="Manutenção Londrina" sheetId="8" r:id="rId8"/>
    <sheet name="Eletricista Londrina" sheetId="9" r:id="rId9"/>
    <sheet name="Deslocamento" sheetId="10" r:id="rId10"/>
    <sheet name="Uniformes" sheetId="11" r:id="rId11"/>
    <sheet name="EPIs" sheetId="12" r:id="rId12"/>
    <sheet name="EPIs Covid-19" sheetId="13" r:id="rId13"/>
    <sheet name="Equipamentos" sheetId="14" r:id="rId14"/>
  </sheets>
  <definedNames>
    <definedName name="_xlnm.Print_Area" localSheetId="9">Deslocamento!$A$1:$G$68</definedName>
    <definedName name="_xlnm.Print_Area" localSheetId="2">'Eletricista Cascavel'!$A$1:$D$153</definedName>
    <definedName name="_xlnm.Print_Area" localSheetId="4">'Eletricista Curitiba'!$A$1:$D$154</definedName>
    <definedName name="_xlnm.Print_Area" localSheetId="8">'Eletricista Londrina'!$A$1:$D$154</definedName>
    <definedName name="_xlnm.Print_Area" localSheetId="6">'Eletricista Maringá'!$A$1:$D$154</definedName>
    <definedName name="_xlnm.Print_Area" localSheetId="11">EPIs!$A$1:$H$41</definedName>
    <definedName name="_xlnm.Print_Area" localSheetId="12">'EPIs Covid-19'!$A$1:$H$21</definedName>
    <definedName name="_xlnm.Print_Area" localSheetId="13">Equipamentos!$A$1:$I$53</definedName>
    <definedName name="_xlnm.Print_Area" localSheetId="1">'Manutenção Cascavel'!$A$1:$D$153</definedName>
    <definedName name="_xlnm.Print_Area" localSheetId="3">'Manutenção Curitiba'!$A$1:$D$153</definedName>
    <definedName name="_xlnm.Print_Area" localSheetId="7">'Manutenção Londrina'!$A$1:$D$153</definedName>
    <definedName name="_xlnm.Print_Area" localSheetId="5">'Manutenção Maringá'!$A$1:$D$153</definedName>
    <definedName name="_xlnm.Print_Area" localSheetId="0">Resumo!$B$1:$G$24</definedName>
    <definedName name="_xlnm.Print_Area" localSheetId="10">Uniformes!$A$1:$H$33</definedName>
    <definedName name="_xlnm.Print_Titles" localSheetId="13">Equipamentos!$8:$9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6" i="1" l="1"/>
  <c r="C87" i="2" l="1"/>
  <c r="G59" i="10" l="1"/>
  <c r="H32" i="12" l="1"/>
  <c r="H17" i="12"/>
  <c r="C14" i="9"/>
  <c r="C14" i="3"/>
  <c r="C14" i="5"/>
  <c r="C14" i="7"/>
  <c r="C85" i="2" l="1"/>
  <c r="D38" i="9" l="1"/>
  <c r="D38" i="8"/>
  <c r="D38" i="6"/>
  <c r="D38" i="4"/>
  <c r="D38" i="3"/>
  <c r="D39" i="2"/>
  <c r="D73" i="2" s="1"/>
  <c r="D38" i="2" l="1"/>
  <c r="H51" i="14"/>
  <c r="E50" i="14"/>
  <c r="G44" i="14"/>
  <c r="I43" i="14"/>
  <c r="I42" i="14"/>
  <c r="I41" i="14"/>
  <c r="I40" i="14"/>
  <c r="I39" i="14"/>
  <c r="I38" i="14"/>
  <c r="I37" i="14"/>
  <c r="I36" i="14"/>
  <c r="I35" i="14"/>
  <c r="I34" i="14"/>
  <c r="I33" i="14"/>
  <c r="I32" i="14"/>
  <c r="I31" i="14"/>
  <c r="I30" i="14"/>
  <c r="I29" i="14"/>
  <c r="I28" i="14"/>
  <c r="I27" i="14"/>
  <c r="I26" i="14"/>
  <c r="I25" i="14"/>
  <c r="I24" i="14"/>
  <c r="I23" i="14"/>
  <c r="I22" i="14"/>
  <c r="I21" i="14"/>
  <c r="I20" i="14"/>
  <c r="I19" i="14"/>
  <c r="I18" i="14"/>
  <c r="I17" i="14"/>
  <c r="I16" i="14"/>
  <c r="I15" i="14"/>
  <c r="I14" i="14"/>
  <c r="I13" i="14"/>
  <c r="I12" i="14"/>
  <c r="I44" i="14" s="1"/>
  <c r="F48" i="14" s="1"/>
  <c r="I11" i="14"/>
  <c r="I10" i="14"/>
  <c r="G20" i="13"/>
  <c r="D19" i="13"/>
  <c r="E10" i="13"/>
  <c r="G10" i="13" s="1"/>
  <c r="H10" i="13" s="1"/>
  <c r="H11" i="13" s="1"/>
  <c r="G40" i="12"/>
  <c r="D39" i="12"/>
  <c r="G30" i="12"/>
  <c r="H30" i="12" s="1"/>
  <c r="H29" i="12"/>
  <c r="G29" i="12"/>
  <c r="G28" i="12"/>
  <c r="H28" i="12" s="1"/>
  <c r="H27" i="12"/>
  <c r="G27" i="12"/>
  <c r="G26" i="12"/>
  <c r="H26" i="12" s="1"/>
  <c r="H25" i="12"/>
  <c r="G25" i="12"/>
  <c r="G24" i="12"/>
  <c r="H24" i="12" s="1"/>
  <c r="H15" i="12"/>
  <c r="G15" i="12"/>
  <c r="H14" i="12"/>
  <c r="G14" i="12"/>
  <c r="H13" i="12"/>
  <c r="G13" i="12"/>
  <c r="H12" i="12"/>
  <c r="G12" i="12"/>
  <c r="H11" i="12"/>
  <c r="G11" i="12"/>
  <c r="H10" i="12"/>
  <c r="H16" i="12" s="1"/>
  <c r="H18" i="12" s="1"/>
  <c r="G10" i="12"/>
  <c r="G32" i="11"/>
  <c r="H32" i="11" s="1"/>
  <c r="E32" i="11"/>
  <c r="E31" i="11"/>
  <c r="G31" i="11" s="1"/>
  <c r="H31" i="11" s="1"/>
  <c r="G30" i="11"/>
  <c r="H30" i="11" s="1"/>
  <c r="E30" i="11"/>
  <c r="E29" i="11"/>
  <c r="G29" i="11" s="1"/>
  <c r="H29" i="11" s="1"/>
  <c r="H28" i="11"/>
  <c r="G28" i="11"/>
  <c r="E28" i="11"/>
  <c r="H27" i="11"/>
  <c r="G27" i="11"/>
  <c r="E27" i="11"/>
  <c r="E26" i="11"/>
  <c r="G26" i="11" s="1"/>
  <c r="H26" i="11" s="1"/>
  <c r="H25" i="11"/>
  <c r="E25" i="11"/>
  <c r="G25" i="11" s="1"/>
  <c r="G24" i="11"/>
  <c r="H24" i="11" s="1"/>
  <c r="E24" i="11"/>
  <c r="G17" i="11"/>
  <c r="H17" i="11" s="1"/>
  <c r="E17" i="11"/>
  <c r="E16" i="11"/>
  <c r="G16" i="11" s="1"/>
  <c r="H16" i="11" s="1"/>
  <c r="G15" i="11"/>
  <c r="H15" i="11" s="1"/>
  <c r="E15" i="11"/>
  <c r="E14" i="11"/>
  <c r="G14" i="11" s="1"/>
  <c r="H14" i="11" s="1"/>
  <c r="H13" i="11"/>
  <c r="G13" i="11"/>
  <c r="E13" i="11"/>
  <c r="G12" i="11"/>
  <c r="H12" i="11" s="1"/>
  <c r="E12" i="11"/>
  <c r="E11" i="11"/>
  <c r="G11" i="11" s="1"/>
  <c r="H11" i="11" s="1"/>
  <c r="H10" i="11"/>
  <c r="E10" i="11"/>
  <c r="G10" i="11" s="1"/>
  <c r="F66" i="10"/>
  <c r="C65" i="10"/>
  <c r="G60" i="10"/>
  <c r="F60" i="10"/>
  <c r="G58" i="10"/>
  <c r="G61" i="10" s="1"/>
  <c r="F50" i="10"/>
  <c r="C49" i="10"/>
  <c r="F44" i="10"/>
  <c r="G44" i="10" s="1"/>
  <c r="G43" i="10"/>
  <c r="G42" i="10"/>
  <c r="F34" i="10"/>
  <c r="C33" i="10"/>
  <c r="F28" i="10"/>
  <c r="G28" i="10" s="1"/>
  <c r="G27" i="10"/>
  <c r="G26" i="10"/>
  <c r="F18" i="10"/>
  <c r="C17" i="10"/>
  <c r="F12" i="10"/>
  <c r="G12" i="10" s="1"/>
  <c r="G11" i="10"/>
  <c r="G10" i="10"/>
  <c r="C138" i="9"/>
  <c r="C137" i="9" s="1"/>
  <c r="C141" i="9" s="1"/>
  <c r="C113" i="9"/>
  <c r="C103" i="9"/>
  <c r="C102" i="9"/>
  <c r="C101" i="9"/>
  <c r="C100" i="9"/>
  <c r="C99" i="9"/>
  <c r="C98" i="9"/>
  <c r="C86" i="9"/>
  <c r="C85" i="9"/>
  <c r="C84" i="9"/>
  <c r="C83" i="9"/>
  <c r="D67" i="9"/>
  <c r="D66" i="9"/>
  <c r="D65" i="9"/>
  <c r="D63" i="9"/>
  <c r="C63" i="9"/>
  <c r="D62" i="9"/>
  <c r="C55" i="9"/>
  <c r="C49" i="9"/>
  <c r="D23" i="9"/>
  <c r="C137" i="8"/>
  <c r="C136" i="8"/>
  <c r="C140" i="8" s="1"/>
  <c r="C112" i="8"/>
  <c r="C102" i="8"/>
  <c r="C101" i="8"/>
  <c r="C100" i="8"/>
  <c r="C99" i="8"/>
  <c r="C98" i="8"/>
  <c r="C97" i="8"/>
  <c r="C103" i="8" s="1"/>
  <c r="C87" i="8"/>
  <c r="C85" i="8"/>
  <c r="C84" i="8"/>
  <c r="C83" i="8"/>
  <c r="C82" i="8"/>
  <c r="D62" i="8"/>
  <c r="D63" i="8" s="1"/>
  <c r="C55" i="8"/>
  <c r="C49" i="8"/>
  <c r="D23" i="8"/>
  <c r="C138" i="7"/>
  <c r="C137" i="7" s="1"/>
  <c r="C141" i="7" s="1"/>
  <c r="C113" i="7"/>
  <c r="C103" i="7"/>
  <c r="C102" i="7"/>
  <c r="C101" i="7"/>
  <c r="C100" i="7"/>
  <c r="C99" i="7"/>
  <c r="C98" i="7"/>
  <c r="C86" i="7"/>
  <c r="C85" i="7"/>
  <c r="C83" i="7"/>
  <c r="D67" i="7"/>
  <c r="D66" i="7"/>
  <c r="D65" i="7"/>
  <c r="D64" i="7"/>
  <c r="C63" i="7"/>
  <c r="D63" i="7" s="1"/>
  <c r="D62" i="7"/>
  <c r="C49" i="7"/>
  <c r="D23" i="7"/>
  <c r="D146" i="6"/>
  <c r="C137" i="6"/>
  <c r="C136" i="6" s="1"/>
  <c r="C140" i="6" s="1"/>
  <c r="C112" i="6"/>
  <c r="C102" i="6"/>
  <c r="C101" i="6"/>
  <c r="D101" i="6" s="1"/>
  <c r="C100" i="6"/>
  <c r="D100" i="6" s="1"/>
  <c r="C99" i="6"/>
  <c r="C98" i="6"/>
  <c r="C97" i="6"/>
  <c r="C85" i="6"/>
  <c r="C86" i="6" s="1"/>
  <c r="D86" i="6" s="1"/>
  <c r="C84" i="6"/>
  <c r="C83" i="6"/>
  <c r="D82" i="6"/>
  <c r="C82" i="6"/>
  <c r="D62" i="6"/>
  <c r="D63" i="6" s="1"/>
  <c r="D61" i="6"/>
  <c r="D67" i="6" s="1"/>
  <c r="D75" i="6" s="1"/>
  <c r="C55" i="6"/>
  <c r="C49" i="6"/>
  <c r="D29" i="6"/>
  <c r="D23" i="6"/>
  <c r="C141" i="5"/>
  <c r="C138" i="5"/>
  <c r="C137" i="5" s="1"/>
  <c r="C113" i="5"/>
  <c r="C103" i="5"/>
  <c r="C102" i="5"/>
  <c r="C101" i="5"/>
  <c r="C100" i="5"/>
  <c r="C99" i="5"/>
  <c r="C98" i="5"/>
  <c r="C87" i="5"/>
  <c r="C86" i="5"/>
  <c r="C88" i="5" s="1"/>
  <c r="C85" i="5"/>
  <c r="C83" i="5"/>
  <c r="D67" i="5"/>
  <c r="D65" i="5"/>
  <c r="D64" i="5"/>
  <c r="C64" i="5"/>
  <c r="C63" i="5"/>
  <c r="D63" i="5" s="1"/>
  <c r="D62" i="5"/>
  <c r="C55" i="5"/>
  <c r="C49" i="5"/>
  <c r="D23" i="5"/>
  <c r="D61" i="5" s="1"/>
  <c r="C137" i="4"/>
  <c r="C136" i="4" s="1"/>
  <c r="C140" i="4" s="1"/>
  <c r="C112" i="4"/>
  <c r="C102" i="4"/>
  <c r="D102" i="4" s="1"/>
  <c r="C101" i="4"/>
  <c r="C100" i="4"/>
  <c r="C99" i="4"/>
  <c r="C98" i="4"/>
  <c r="D98" i="4" s="1"/>
  <c r="C97" i="4"/>
  <c r="C85" i="4"/>
  <c r="C84" i="4"/>
  <c r="C82" i="4"/>
  <c r="C83" i="4" s="1"/>
  <c r="D62" i="4"/>
  <c r="D63" i="4" s="1"/>
  <c r="D61" i="4"/>
  <c r="C55" i="4"/>
  <c r="C86" i="4" s="1"/>
  <c r="D86" i="4" s="1"/>
  <c r="C49" i="4"/>
  <c r="D29" i="4"/>
  <c r="D146" i="4" s="1"/>
  <c r="D23" i="4"/>
  <c r="C137" i="3"/>
  <c r="C136" i="3" s="1"/>
  <c r="C140" i="3" s="1"/>
  <c r="C112" i="3"/>
  <c r="C102" i="3"/>
  <c r="C101" i="3"/>
  <c r="C100" i="3"/>
  <c r="C99" i="3"/>
  <c r="C98" i="3"/>
  <c r="C97" i="3"/>
  <c r="C103" i="3" s="1"/>
  <c r="C86" i="3"/>
  <c r="C85" i="3"/>
  <c r="C87" i="3" s="1"/>
  <c r="C84" i="3"/>
  <c r="C82" i="3"/>
  <c r="C83" i="3" s="1"/>
  <c r="D66" i="3"/>
  <c r="D65" i="3"/>
  <c r="C64" i="3"/>
  <c r="D64" i="3" s="1"/>
  <c r="C63" i="3"/>
  <c r="D63" i="3" s="1"/>
  <c r="D62" i="3"/>
  <c r="C55" i="3"/>
  <c r="C49" i="3"/>
  <c r="D23" i="3"/>
  <c r="C137" i="2"/>
  <c r="C136" i="2" s="1"/>
  <c r="C140" i="2" s="1"/>
  <c r="C112" i="2"/>
  <c r="C102" i="2"/>
  <c r="D102" i="2" s="1"/>
  <c r="C101" i="2"/>
  <c r="D101" i="2" s="1"/>
  <c r="C100" i="2"/>
  <c r="D100" i="2" s="1"/>
  <c r="C99" i="2"/>
  <c r="D99" i="2" s="1"/>
  <c r="C98" i="2"/>
  <c r="D98" i="2" s="1"/>
  <c r="C97" i="2"/>
  <c r="D97" i="2" s="1"/>
  <c r="C86" i="2"/>
  <c r="D86" i="2" s="1"/>
  <c r="D85" i="2"/>
  <c r="C84" i="2"/>
  <c r="D84" i="2" s="1"/>
  <c r="C82" i="2"/>
  <c r="D62" i="2"/>
  <c r="D63" i="2" s="1"/>
  <c r="D61" i="2"/>
  <c r="D67" i="2" s="1"/>
  <c r="D75" i="2" s="1"/>
  <c r="C55" i="2"/>
  <c r="C49" i="2"/>
  <c r="D29" i="2"/>
  <c r="D23" i="2"/>
  <c r="F16" i="1"/>
  <c r="H12" i="13" s="1"/>
  <c r="G13" i="10" l="1"/>
  <c r="D100" i="3"/>
  <c r="D103" i="2"/>
  <c r="D29" i="3"/>
  <c r="D61" i="3"/>
  <c r="D67" i="3" s="1"/>
  <c r="D75" i="3" s="1"/>
  <c r="D83" i="3"/>
  <c r="C104" i="3"/>
  <c r="D104" i="3" s="1"/>
  <c r="D64" i="9"/>
  <c r="D61" i="9"/>
  <c r="D68" i="9" s="1"/>
  <c r="D76" i="9" s="1"/>
  <c r="D29" i="9"/>
  <c r="D64" i="10"/>
  <c r="D63" i="10"/>
  <c r="D65" i="10" s="1"/>
  <c r="D66" i="10" s="1"/>
  <c r="D87" i="3"/>
  <c r="D84" i="3"/>
  <c r="D98" i="3"/>
  <c r="D102" i="3"/>
  <c r="D87" i="8"/>
  <c r="D111" i="2"/>
  <c r="D112" i="2" s="1"/>
  <c r="D119" i="2" s="1"/>
  <c r="D86" i="9"/>
  <c r="C88" i="9"/>
  <c r="D88" i="9" s="1"/>
  <c r="C87" i="9"/>
  <c r="D87" i="9" s="1"/>
  <c r="D82" i="2"/>
  <c r="D37" i="4"/>
  <c r="D39" i="4" s="1"/>
  <c r="D73" i="4" s="1"/>
  <c r="C84" i="7"/>
  <c r="D100" i="4"/>
  <c r="D85" i="6"/>
  <c r="C87" i="6"/>
  <c r="D87" i="6" s="1"/>
  <c r="C88" i="7"/>
  <c r="D100" i="9"/>
  <c r="D15" i="10"/>
  <c r="D17" i="10" s="1"/>
  <c r="D18" i="10" s="1"/>
  <c r="D37" i="2"/>
  <c r="C88" i="3"/>
  <c r="D67" i="4"/>
  <c r="D75" i="4" s="1"/>
  <c r="D84" i="4"/>
  <c r="D101" i="4"/>
  <c r="C83" i="2"/>
  <c r="D83" i="2" s="1"/>
  <c r="D87" i="2"/>
  <c r="C103" i="2"/>
  <c r="D146" i="2"/>
  <c r="D82" i="3"/>
  <c r="D83" i="4"/>
  <c r="D85" i="4"/>
  <c r="D99" i="4"/>
  <c r="D111" i="4"/>
  <c r="D112" i="4" s="1"/>
  <c r="D119" i="4" s="1"/>
  <c r="D111" i="6"/>
  <c r="D112" i="6" s="1"/>
  <c r="D119" i="6" s="1"/>
  <c r="D83" i="6"/>
  <c r="D88" i="6" s="1"/>
  <c r="D148" i="6" s="1"/>
  <c r="C88" i="6"/>
  <c r="D98" i="6"/>
  <c r="D102" i="6"/>
  <c r="C104" i="7"/>
  <c r="H13" i="13"/>
  <c r="D82" i="4"/>
  <c r="D97" i="4"/>
  <c r="D103" i="4" s="1"/>
  <c r="C84" i="5"/>
  <c r="C104" i="5"/>
  <c r="D37" i="6"/>
  <c r="D39" i="6" s="1"/>
  <c r="D84" i="6"/>
  <c r="D99" i="6"/>
  <c r="C55" i="7"/>
  <c r="C87" i="7" s="1"/>
  <c r="D16" i="10"/>
  <c r="C87" i="4"/>
  <c r="D87" i="4" s="1"/>
  <c r="C103" i="4"/>
  <c r="D97" i="6"/>
  <c r="D61" i="8"/>
  <c r="D67" i="8" s="1"/>
  <c r="D75" i="8" s="1"/>
  <c r="D29" i="8"/>
  <c r="C104" i="8"/>
  <c r="D104" i="8" s="1"/>
  <c r="C104" i="9"/>
  <c r="D102" i="9"/>
  <c r="H33" i="11"/>
  <c r="D29" i="5"/>
  <c r="D103" i="5" s="1"/>
  <c r="C103" i="6"/>
  <c r="D61" i="7"/>
  <c r="D68" i="7" s="1"/>
  <c r="D76" i="7" s="1"/>
  <c r="D29" i="7"/>
  <c r="C86" i="8"/>
  <c r="D85" i="8"/>
  <c r="D84" i="9"/>
  <c r="C89" i="9"/>
  <c r="D103" i="9"/>
  <c r="G45" i="10"/>
  <c r="H18" i="11"/>
  <c r="D98" i="9"/>
  <c r="H31" i="12"/>
  <c r="H33" i="12" s="1"/>
  <c r="C88" i="8"/>
  <c r="G29" i="10"/>
  <c r="F49" i="14"/>
  <c r="F50" i="14" s="1"/>
  <c r="D38" i="5" l="1"/>
  <c r="D99" i="5"/>
  <c r="D87" i="5"/>
  <c r="D85" i="5"/>
  <c r="D98" i="7"/>
  <c r="D38" i="7"/>
  <c r="C88" i="2"/>
  <c r="F51" i="14"/>
  <c r="D87" i="7"/>
  <c r="C89" i="7"/>
  <c r="D126" i="8"/>
  <c r="D128" i="8" s="1"/>
  <c r="D150" i="8" s="1"/>
  <c r="D126" i="4"/>
  <c r="D128" i="4" s="1"/>
  <c r="D150" i="4" s="1"/>
  <c r="D126" i="6"/>
  <c r="D128" i="6" s="1"/>
  <c r="D150" i="6" s="1"/>
  <c r="D126" i="2"/>
  <c r="D128" i="2" s="1"/>
  <c r="D150" i="2" s="1"/>
  <c r="D127" i="7"/>
  <c r="D129" i="7" s="1"/>
  <c r="D151" i="7" s="1"/>
  <c r="D127" i="5"/>
  <c r="D129" i="5" s="1"/>
  <c r="D151" i="5" s="1"/>
  <c r="D127" i="9"/>
  <c r="D129" i="9" s="1"/>
  <c r="D151" i="9" s="1"/>
  <c r="D126" i="3"/>
  <c r="D128" i="3" s="1"/>
  <c r="D150" i="3" s="1"/>
  <c r="C89" i="5"/>
  <c r="D84" i="5"/>
  <c r="C105" i="2"/>
  <c r="C104" i="2"/>
  <c r="D104" i="2" s="1"/>
  <c r="D86" i="7"/>
  <c r="D105" i="4"/>
  <c r="D118" i="4" s="1"/>
  <c r="D120" i="4" s="1"/>
  <c r="D149" i="4" s="1"/>
  <c r="D83" i="7"/>
  <c r="D88" i="2"/>
  <c r="D148" i="2" s="1"/>
  <c r="C88" i="4"/>
  <c r="G63" i="10"/>
  <c r="G65" i="10"/>
  <c r="G64" i="10"/>
  <c r="D31" i="10"/>
  <c r="D33" i="10" s="1"/>
  <c r="D34" i="10" s="1"/>
  <c r="D32" i="10"/>
  <c r="D73" i="6"/>
  <c r="D42" i="6"/>
  <c r="E17" i="13"/>
  <c r="E19" i="13" s="1"/>
  <c r="E20" i="13" s="1"/>
  <c r="E18" i="13"/>
  <c r="D111" i="8"/>
  <c r="D112" i="8" s="1"/>
  <c r="D119" i="8" s="1"/>
  <c r="D146" i="8"/>
  <c r="D102" i="8"/>
  <c r="D100" i="8"/>
  <c r="D98" i="8"/>
  <c r="D97" i="8"/>
  <c r="D82" i="8"/>
  <c r="D88" i="8" s="1"/>
  <c r="D148" i="8" s="1"/>
  <c r="D37" i="8"/>
  <c r="D39" i="8" s="1"/>
  <c r="D73" i="8" s="1"/>
  <c r="D99" i="8"/>
  <c r="D84" i="8"/>
  <c r="D101" i="8"/>
  <c r="D86" i="8"/>
  <c r="C105" i="9"/>
  <c r="D105" i="9" s="1"/>
  <c r="C106" i="5"/>
  <c r="C105" i="5"/>
  <c r="D105" i="5" s="1"/>
  <c r="D88" i="4"/>
  <c r="D148" i="4" s="1"/>
  <c r="D88" i="7"/>
  <c r="D83" i="8"/>
  <c r="D84" i="7"/>
  <c r="D146" i="3"/>
  <c r="D101" i="3"/>
  <c r="D37" i="3"/>
  <c r="D39" i="3" s="1"/>
  <c r="D73" i="3" s="1"/>
  <c r="D99" i="3"/>
  <c r="D85" i="3"/>
  <c r="D88" i="3" s="1"/>
  <c r="D148" i="3" s="1"/>
  <c r="D111" i="3"/>
  <c r="D112" i="3" s="1"/>
  <c r="D119" i="3" s="1"/>
  <c r="D97" i="3"/>
  <c r="D103" i="3" s="1"/>
  <c r="D105" i="3" s="1"/>
  <c r="D118" i="3" s="1"/>
  <c r="D120" i="3" s="1"/>
  <c r="D149" i="3" s="1"/>
  <c r="D86" i="3"/>
  <c r="E37" i="12"/>
  <c r="E38" i="12"/>
  <c r="D147" i="7"/>
  <c r="D85" i="7"/>
  <c r="D103" i="7"/>
  <c r="D112" i="7"/>
  <c r="D113" i="7" s="1"/>
  <c r="D120" i="7" s="1"/>
  <c r="D37" i="7"/>
  <c r="C105" i="4"/>
  <c r="C104" i="4"/>
  <c r="D104" i="4" s="1"/>
  <c r="G16" i="10"/>
  <c r="G17" i="10"/>
  <c r="G15" i="10"/>
  <c r="G18" i="10" s="1"/>
  <c r="G19" i="10" s="1"/>
  <c r="G20" i="10" s="1"/>
  <c r="D48" i="10"/>
  <c r="D47" i="10"/>
  <c r="D49" i="10" s="1"/>
  <c r="D50" i="10" s="1"/>
  <c r="C106" i="7"/>
  <c r="C105" i="7"/>
  <c r="D105" i="7" s="1"/>
  <c r="C104" i="6"/>
  <c r="D104" i="6" s="1"/>
  <c r="D100" i="7"/>
  <c r="D102" i="7"/>
  <c r="D147" i="5"/>
  <c r="D112" i="5"/>
  <c r="D113" i="5" s="1"/>
  <c r="D120" i="5" s="1"/>
  <c r="D100" i="5"/>
  <c r="D86" i="5"/>
  <c r="D98" i="5"/>
  <c r="D102" i="5"/>
  <c r="D37" i="5"/>
  <c r="D88" i="5"/>
  <c r="C105" i="8"/>
  <c r="D103" i="6"/>
  <c r="D99" i="7"/>
  <c r="D83" i="5"/>
  <c r="D42" i="4"/>
  <c r="D101" i="5"/>
  <c r="D101" i="7"/>
  <c r="D112" i="9"/>
  <c r="D113" i="9" s="1"/>
  <c r="D120" i="9" s="1"/>
  <c r="D101" i="9"/>
  <c r="D85" i="9"/>
  <c r="D37" i="9"/>
  <c r="D39" i="9" s="1"/>
  <c r="D74" i="9" s="1"/>
  <c r="D99" i="9"/>
  <c r="D104" i="9" s="1"/>
  <c r="D106" i="9" s="1"/>
  <c r="D119" i="9" s="1"/>
  <c r="D121" i="9" s="1"/>
  <c r="D150" i="9" s="1"/>
  <c r="D83" i="9"/>
  <c r="D89" i="9" s="1"/>
  <c r="D149" i="9" s="1"/>
  <c r="D147" i="9"/>
  <c r="C105" i="3"/>
  <c r="D105" i="2"/>
  <c r="D118" i="2" s="1"/>
  <c r="D120" i="2" s="1"/>
  <c r="D149" i="2" s="1"/>
  <c r="G66" i="10" l="1"/>
  <c r="G67" i="10" s="1"/>
  <c r="G68" i="10" s="1"/>
  <c r="D39" i="5"/>
  <c r="D74" i="5" s="1"/>
  <c r="D66" i="5"/>
  <c r="D68" i="5" s="1"/>
  <c r="D76" i="5" s="1"/>
  <c r="D89" i="5"/>
  <c r="D149" i="5" s="1"/>
  <c r="D104" i="7"/>
  <c r="D106" i="7" s="1"/>
  <c r="D119" i="7" s="1"/>
  <c r="D121" i="7" s="1"/>
  <c r="D150" i="7" s="1"/>
  <c r="D39" i="7"/>
  <c r="D74" i="7" s="1"/>
  <c r="G49" i="10"/>
  <c r="G48" i="10"/>
  <c r="G47" i="10"/>
  <c r="D103" i="8"/>
  <c r="D105" i="8" s="1"/>
  <c r="D118" i="8" s="1"/>
  <c r="D120" i="8" s="1"/>
  <c r="D149" i="8" s="1"/>
  <c r="D52" i="6"/>
  <c r="D51" i="6"/>
  <c r="D48" i="6"/>
  <c r="D49" i="6"/>
  <c r="D50" i="6"/>
  <c r="D54" i="6"/>
  <c r="D47" i="6"/>
  <c r="D53" i="6"/>
  <c r="D104" i="5"/>
  <c r="D106" i="5" s="1"/>
  <c r="D119" i="5" s="1"/>
  <c r="D121" i="5" s="1"/>
  <c r="D150" i="5" s="1"/>
  <c r="D42" i="2"/>
  <c r="H18" i="13"/>
  <c r="H17" i="13"/>
  <c r="H19" i="13"/>
  <c r="G32" i="10"/>
  <c r="G31" i="10"/>
  <c r="G33" i="10"/>
  <c r="D42" i="5"/>
  <c r="D42" i="9"/>
  <c r="D105" i="6"/>
  <c r="D118" i="6" s="1"/>
  <c r="D120" i="6" s="1"/>
  <c r="D149" i="6" s="1"/>
  <c r="C105" i="6"/>
  <c r="D42" i="7"/>
  <c r="E39" i="12"/>
  <c r="D42" i="3"/>
  <c r="C106" i="9"/>
  <c r="I49" i="14"/>
  <c r="I48" i="14"/>
  <c r="I50" i="14"/>
  <c r="D52" i="4"/>
  <c r="D54" i="4"/>
  <c r="D49" i="4"/>
  <c r="D53" i="4"/>
  <c r="D50" i="4"/>
  <c r="D47" i="4"/>
  <c r="D51" i="4"/>
  <c r="D48" i="4"/>
  <c r="D42" i="8"/>
  <c r="D89" i="7"/>
  <c r="D149" i="7" s="1"/>
  <c r="D55" i="6" l="1"/>
  <c r="D74" i="6" s="1"/>
  <c r="D76" i="6" s="1"/>
  <c r="D147" i="6" s="1"/>
  <c r="D151" i="6" s="1"/>
  <c r="D52" i="3"/>
  <c r="D53" i="3"/>
  <c r="D51" i="3"/>
  <c r="D48" i="3"/>
  <c r="D54" i="3"/>
  <c r="D50" i="3"/>
  <c r="D47" i="3"/>
  <c r="D49" i="3"/>
  <c r="D53" i="5"/>
  <c r="D52" i="5"/>
  <c r="D51" i="5"/>
  <c r="D47" i="5"/>
  <c r="D50" i="5"/>
  <c r="D48" i="5"/>
  <c r="D54" i="5"/>
  <c r="D49" i="5"/>
  <c r="D52" i="2"/>
  <c r="D51" i="2"/>
  <c r="D48" i="2"/>
  <c r="D54" i="2"/>
  <c r="D50" i="2"/>
  <c r="D53" i="2"/>
  <c r="D49" i="2"/>
  <c r="D47" i="2"/>
  <c r="D53" i="8"/>
  <c r="D50" i="8"/>
  <c r="D54" i="8"/>
  <c r="D51" i="8"/>
  <c r="D52" i="8"/>
  <c r="D48" i="8"/>
  <c r="D47" i="8"/>
  <c r="D49" i="8"/>
  <c r="D53" i="7"/>
  <c r="D51" i="7"/>
  <c r="D47" i="7"/>
  <c r="D50" i="7"/>
  <c r="D48" i="7"/>
  <c r="D52" i="7"/>
  <c r="D54" i="7"/>
  <c r="D49" i="7"/>
  <c r="D53" i="9"/>
  <c r="D54" i="9"/>
  <c r="D52" i="9"/>
  <c r="D48" i="9"/>
  <c r="D47" i="9"/>
  <c r="D51" i="9"/>
  <c r="D50" i="9"/>
  <c r="D49" i="9"/>
  <c r="H20" i="13"/>
  <c r="H21" i="13" s="1"/>
  <c r="G23" i="1" s="1"/>
  <c r="E40" i="12"/>
  <c r="D55" i="4"/>
  <c r="D74" i="4" s="1"/>
  <c r="D76" i="4" s="1"/>
  <c r="D147" i="4" s="1"/>
  <c r="D151" i="4" s="1"/>
  <c r="I51" i="14"/>
  <c r="I52" i="14" s="1"/>
  <c r="I53" i="14" s="1"/>
  <c r="G21" i="1" s="1"/>
  <c r="G34" i="10"/>
  <c r="G35" i="10" s="1"/>
  <c r="G36" i="10" s="1"/>
  <c r="G50" i="10"/>
  <c r="G51" i="10" s="1"/>
  <c r="G52" i="10" s="1"/>
  <c r="G20" i="1" l="1"/>
  <c r="D55" i="9"/>
  <c r="D75" i="9" s="1"/>
  <c r="D77" i="9" s="1"/>
  <c r="D148" i="9" s="1"/>
  <c r="D152" i="9" s="1"/>
  <c r="D55" i="2"/>
  <c r="D74" i="2" s="1"/>
  <c r="D76" i="2" s="1"/>
  <c r="D147" i="2" s="1"/>
  <c r="D151" i="2" s="1"/>
  <c r="D55" i="5"/>
  <c r="D75" i="5" s="1"/>
  <c r="D77" i="5" s="1"/>
  <c r="D148" i="5" s="1"/>
  <c r="D152" i="5" s="1"/>
  <c r="D135" i="6"/>
  <c r="D136" i="6" s="1"/>
  <c r="D134" i="6"/>
  <c r="H37" i="12"/>
  <c r="H38" i="12"/>
  <c r="H39" i="12"/>
  <c r="D134" i="4"/>
  <c r="D55" i="7"/>
  <c r="D75" i="7" s="1"/>
  <c r="D77" i="7" s="1"/>
  <c r="D148" i="7" s="1"/>
  <c r="D152" i="7" s="1"/>
  <c r="D55" i="8"/>
  <c r="D74" i="8" s="1"/>
  <c r="D76" i="8" s="1"/>
  <c r="D147" i="8" s="1"/>
  <c r="D151" i="8" s="1"/>
  <c r="D55" i="3"/>
  <c r="D74" i="3" s="1"/>
  <c r="D76" i="3" s="1"/>
  <c r="D147" i="3" s="1"/>
  <c r="D151" i="3" s="1"/>
  <c r="H40" i="12" l="1"/>
  <c r="H41" i="12" s="1"/>
  <c r="G22" i="1" s="1"/>
  <c r="D135" i="5"/>
  <c r="D139" i="6"/>
  <c r="D138" i="6"/>
  <c r="D134" i="8"/>
  <c r="D135" i="8"/>
  <c r="D135" i="4"/>
  <c r="D139" i="4"/>
  <c r="D140" i="6"/>
  <c r="D152" i="6" s="1"/>
  <c r="D153" i="6" s="1"/>
  <c r="E14" i="1" s="1"/>
  <c r="G14" i="1" s="1"/>
  <c r="D134" i="2"/>
  <c r="D134" i="3"/>
  <c r="D135" i="3" s="1"/>
  <c r="D138" i="3" s="1"/>
  <c r="D136" i="4"/>
  <c r="D135" i="7"/>
  <c r="D136" i="7" s="1"/>
  <c r="D140" i="7" s="1"/>
  <c r="D137" i="6"/>
  <c r="D135" i="9"/>
  <c r="D136" i="9" s="1"/>
  <c r="D139" i="9" s="1"/>
  <c r="D137" i="8" l="1"/>
  <c r="D139" i="3"/>
  <c r="D140" i="9"/>
  <c r="D136" i="3"/>
  <c r="D140" i="3" s="1"/>
  <c r="D152" i="3" s="1"/>
  <c r="D153" i="3" s="1"/>
  <c r="E9" i="1" s="1"/>
  <c r="G9" i="1" s="1"/>
  <c r="D137" i="4"/>
  <c r="D138" i="4"/>
  <c r="D139" i="7"/>
  <c r="D137" i="3"/>
  <c r="D138" i="9"/>
  <c r="D137" i="9"/>
  <c r="D141" i="9" s="1"/>
  <c r="D153" i="9" s="1"/>
  <c r="D154" i="9" s="1"/>
  <c r="E13" i="1" s="1"/>
  <c r="G13" i="1" s="1"/>
  <c r="D138" i="7"/>
  <c r="D137" i="7"/>
  <c r="D141" i="7" s="1"/>
  <c r="D153" i="7" s="1"/>
  <c r="D154" i="7" s="1"/>
  <c r="E15" i="1" s="1"/>
  <c r="G15" i="1" s="1"/>
  <c r="D135" i="2"/>
  <c r="D137" i="2" s="1"/>
  <c r="D139" i="8"/>
  <c r="D138" i="8"/>
  <c r="D140" i="4"/>
  <c r="D152" i="4" s="1"/>
  <c r="D153" i="4" s="1"/>
  <c r="E10" i="1" s="1"/>
  <c r="G10" i="1" s="1"/>
  <c r="D136" i="8"/>
  <c r="D140" i="8" s="1"/>
  <c r="D152" i="8" s="1"/>
  <c r="D153" i="8" s="1"/>
  <c r="E12" i="1" s="1"/>
  <c r="G12" i="1" s="1"/>
  <c r="D136" i="5"/>
  <c r="D139" i="5" s="1"/>
  <c r="D139" i="2" l="1"/>
  <c r="D136" i="2"/>
  <c r="D140" i="2" s="1"/>
  <c r="D152" i="2" s="1"/>
  <c r="D153" i="2" s="1"/>
  <c r="E8" i="1" s="1"/>
  <c r="G8" i="1" s="1"/>
  <c r="G16" i="1" s="1"/>
  <c r="D138" i="5"/>
  <c r="D140" i="5"/>
  <c r="D137" i="5"/>
  <c r="D141" i="5" s="1"/>
  <c r="D153" i="5" s="1"/>
  <c r="D154" i="5" s="1"/>
  <c r="E11" i="1" s="1"/>
  <c r="G11" i="1" s="1"/>
  <c r="D138" i="2"/>
  <c r="G19" i="1" l="1"/>
  <c r="G24" i="1" s="1"/>
</calcChain>
</file>

<file path=xl/comments1.xml><?xml version="1.0" encoding="utf-8"?>
<comments xmlns="http://schemas.openxmlformats.org/spreadsheetml/2006/main">
  <authors>
    <author/>
  </authors>
  <commentList>
    <comment ref="B81" authorId="0" shapeId="0">
      <text>
        <r>
          <rPr>
            <sz val="11"/>
            <color rgb="FF000000"/>
            <rFont val="Calibri"/>
            <family val="2"/>
            <charset val="1"/>
          </rPr>
          <t>Estimativa de que 5% dos empregados serão substituídos durante um ano</t>
        </r>
      </text>
    </comment>
    <comment ref="C85" authorId="0" shapeId="0">
      <text>
        <r>
          <rPr>
            <sz val="11"/>
            <color rgb="FF000000"/>
            <rFont val="Calibri"/>
            <family val="2"/>
            <charset val="1"/>
          </rPr>
          <t>Conforme recomendação Acórdão TCU nº 3.006/2010 e nº 1.094/2007</t>
        </r>
      </text>
    </comment>
    <comment ref="D127" authorId="0" shapeId="0">
      <text>
        <r>
          <rPr>
            <sz val="11"/>
            <color rgb="FF000000"/>
            <rFont val="Calibri"/>
            <family val="2"/>
            <charset val="1"/>
          </rPr>
          <t>Utilizou-se como referência o valor praticado em outros contratos do Tribunal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B81" authorId="0" shapeId="0">
      <text>
        <r>
          <rPr>
            <sz val="11"/>
            <color rgb="FF000000"/>
            <rFont val="Calibri"/>
            <family val="2"/>
            <charset val="1"/>
          </rPr>
          <t>Estimativa de que 5% dos empregados serão substituídos durante um ano</t>
        </r>
      </text>
    </comment>
    <comment ref="C85" authorId="0" shapeId="0">
      <text>
        <r>
          <rPr>
            <sz val="11"/>
            <color rgb="FF000000"/>
            <rFont val="Calibri"/>
            <family val="2"/>
            <charset val="1"/>
          </rPr>
          <t>Conforme recomendação Acórdão TCU nº 3.006/2010 e nº 1.094/2007</t>
        </r>
      </text>
    </comment>
    <comment ref="D127" authorId="0" shapeId="0">
      <text>
        <r>
          <rPr>
            <sz val="11"/>
            <color rgb="FF000000"/>
            <rFont val="Calibri"/>
            <family val="2"/>
            <charset val="1"/>
          </rPr>
          <t>Utilizou-se como referência o valor praticado em outros contratos do Tribunal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B81" authorId="0" shapeId="0">
      <text>
        <r>
          <rPr>
            <sz val="11"/>
            <color rgb="FF000000"/>
            <rFont val="Calibri"/>
            <family val="2"/>
            <charset val="1"/>
          </rPr>
          <t>Estimativa de que 5% dos empregados serão substituídos durante um ano</t>
        </r>
      </text>
    </comment>
    <comment ref="C85" authorId="0" shapeId="0">
      <text>
        <r>
          <rPr>
            <sz val="11"/>
            <color rgb="FF000000"/>
            <rFont val="Calibri"/>
            <family val="2"/>
            <charset val="1"/>
          </rPr>
          <t>Conforme recomendação Acórdão TCU nº 3.006/2010 e nº
1.094/2007</t>
        </r>
      </text>
    </comment>
    <comment ref="D127" authorId="0" shapeId="0">
      <text>
        <r>
          <rPr>
            <sz val="11"/>
            <color rgb="FF000000"/>
            <rFont val="Calibri"/>
            <family val="2"/>
            <charset val="1"/>
          </rPr>
          <t>Utilizou-se como referência o valor praticado em outros contratos do Tribunal</t>
        </r>
      </text>
    </comment>
  </commentList>
</comments>
</file>

<file path=xl/comments4.xml><?xml version="1.0" encoding="utf-8"?>
<comments xmlns="http://schemas.openxmlformats.org/spreadsheetml/2006/main">
  <authors>
    <author/>
  </authors>
  <commentList>
    <comment ref="B66" authorId="0" shapeId="0">
      <text>
        <r>
          <rPr>
            <sz val="11"/>
            <color rgb="FF000000"/>
            <rFont val="Calibri"/>
            <family val="2"/>
            <charset val="1"/>
          </rPr>
          <t xml:space="preserve">Cláusula Décima Sexta da CCT
</t>
        </r>
        <r>
          <rPr>
            <sz val="9"/>
            <color rgb="FF000000"/>
            <rFont val="Segoe UI"/>
            <family val="2"/>
            <charset val="1"/>
          </rPr>
          <t xml:space="preserve">Parágrafo Primeiro: De acordo com a decisão da Assembleia Geral do Sindicato patronal e com o fim de possibilitar amanutenção e ampliação do SECONCI-PR, os empregadores representados pelo SINDUSCON-PR, estabelecidos em Curitiba e Região Metropolitana, são obrigados a recolher, mensalmente, </t>
        </r>
        <r>
          <rPr>
            <b/>
            <sz val="9"/>
            <color rgb="FF000000"/>
            <rFont val="Segoe UI"/>
            <family val="2"/>
            <charset val="1"/>
          </rPr>
          <t>a contribuição equivalente a 1% (um porcento) do valor bruto das folhas de pagamento de seus empregados, inclusive as folhas relativas ao 13º salário</t>
        </r>
        <r>
          <rPr>
            <sz val="9"/>
            <color rgb="FF000000"/>
            <rFont val="Segoe UI"/>
            <family val="2"/>
            <charset val="1"/>
          </rPr>
          <t>,respeitada a contribuição mínima correspondente a 15 (quinze) pisos salariais de servente, conforme cláusula terceira desta convenção, em favor do SECONCI-PR - SERVIÇO SOCIAL DO SINDICATO DA INDÚSTRIA DA CONSTRUÇÃOCIVIL NO ESTADO DO PARANÁ.</t>
        </r>
      </text>
    </comment>
    <comment ref="B82" authorId="0" shapeId="0">
      <text>
        <r>
          <rPr>
            <sz val="11"/>
            <color rgb="FF000000"/>
            <rFont val="Calibri"/>
            <family val="2"/>
            <charset val="1"/>
          </rPr>
          <t>Estimativa de que 5% dos empregados serão substituídos durante um ano</t>
        </r>
      </text>
    </comment>
    <comment ref="C86" authorId="0" shapeId="0">
      <text>
        <r>
          <rPr>
            <sz val="11"/>
            <color rgb="FF000000"/>
            <rFont val="Calibri"/>
            <family val="2"/>
            <charset val="1"/>
          </rPr>
          <t>Conforme recomendação Acórdão TCU nº 3.006/2010 e nº 1.094/2007</t>
        </r>
      </text>
    </comment>
    <comment ref="D128" authorId="0" shapeId="0">
      <text>
        <r>
          <rPr>
            <sz val="11"/>
            <color rgb="FF000000"/>
            <rFont val="Calibri"/>
            <family val="2"/>
            <charset val="1"/>
          </rPr>
          <t>Utilizou-se como referência o valor praticado em outros contratos do Tribunal</t>
        </r>
      </text>
    </comment>
  </commentList>
</comments>
</file>

<file path=xl/comments5.xml><?xml version="1.0" encoding="utf-8"?>
<comments xmlns="http://schemas.openxmlformats.org/spreadsheetml/2006/main">
  <authors>
    <author/>
  </authors>
  <commentList>
    <comment ref="B81" authorId="0" shapeId="0">
      <text>
        <r>
          <rPr>
            <sz val="11"/>
            <color rgb="FF000000"/>
            <rFont val="Calibri"/>
            <family val="2"/>
            <charset val="1"/>
          </rPr>
          <t>Estimativa de que 5% dos empregados serão substituídos durante um ano</t>
        </r>
      </text>
    </comment>
    <comment ref="C85" authorId="0" shapeId="0">
      <text>
        <r>
          <rPr>
            <sz val="11"/>
            <color rgb="FF000000"/>
            <rFont val="Calibri"/>
            <family val="2"/>
            <charset val="1"/>
          </rPr>
          <t>Conforme recomendação Acórdão TCU nº 3.006/2010 e nº 1.094/2007</t>
        </r>
      </text>
    </comment>
    <comment ref="D127" authorId="0" shapeId="0">
      <text>
        <r>
          <rPr>
            <sz val="11"/>
            <color rgb="FF000000"/>
            <rFont val="Calibri"/>
            <family val="2"/>
            <charset val="1"/>
          </rPr>
          <t>Utilizou-se como referência o valor praticado em outros contratos do Tribunal</t>
        </r>
      </text>
    </comment>
  </commentList>
</comments>
</file>

<file path=xl/comments6.xml><?xml version="1.0" encoding="utf-8"?>
<comments xmlns="http://schemas.openxmlformats.org/spreadsheetml/2006/main">
  <authors>
    <author/>
  </authors>
  <commentList>
    <comment ref="B82" authorId="0" shapeId="0">
      <text>
        <r>
          <rPr>
            <sz val="11"/>
            <color rgb="FF000000"/>
            <rFont val="Calibri"/>
            <family val="2"/>
            <charset val="1"/>
          </rPr>
          <t>Estimativa de que 5% dos empregados serão substituídos durante um ano</t>
        </r>
      </text>
    </comment>
    <comment ref="C86" authorId="0" shapeId="0">
      <text>
        <r>
          <rPr>
            <sz val="11"/>
            <color rgb="FF000000"/>
            <rFont val="Calibri"/>
            <family val="2"/>
            <charset val="1"/>
          </rPr>
          <t>Conforme recomendação Acórdão TCU nº 3.006/2010 e nº 1.094/2007</t>
        </r>
      </text>
    </comment>
    <comment ref="D128" authorId="0" shapeId="0">
      <text>
        <r>
          <rPr>
            <sz val="11"/>
            <color rgb="FF000000"/>
            <rFont val="Calibri"/>
            <family val="2"/>
            <charset val="1"/>
          </rPr>
          <t>Utilizou-se como referência o valor praticado em outros contratos do Tribunal</t>
        </r>
      </text>
    </comment>
  </commentList>
</comments>
</file>

<file path=xl/comments7.xml><?xml version="1.0" encoding="utf-8"?>
<comments xmlns="http://schemas.openxmlformats.org/spreadsheetml/2006/main">
  <authors>
    <author/>
  </authors>
  <commentList>
    <comment ref="B81" authorId="0" shapeId="0">
      <text>
        <r>
          <rPr>
            <sz val="11"/>
            <color rgb="FF000000"/>
            <rFont val="Calibri"/>
            <family val="2"/>
            <charset val="1"/>
          </rPr>
          <t>Estimativa de que 5% dos empregados serão substituídos durante um ano</t>
        </r>
      </text>
    </comment>
    <comment ref="C85" authorId="0" shapeId="0">
      <text>
        <r>
          <rPr>
            <sz val="11"/>
            <color rgb="FF000000"/>
            <rFont val="Calibri"/>
            <family val="2"/>
            <charset val="1"/>
          </rPr>
          <t>Conforme recomendação Acórdão TCU nº 3.006/2010 e nº 1.094/2007</t>
        </r>
      </text>
    </comment>
    <comment ref="D127" authorId="0" shapeId="0">
      <text>
        <r>
          <rPr>
            <sz val="11"/>
            <color rgb="FF000000"/>
            <rFont val="Calibri"/>
            <family val="2"/>
            <charset val="1"/>
          </rPr>
          <t>Utilizou-se como referência o valor praticado em outros contratos do Tribunal</t>
        </r>
      </text>
    </comment>
  </commentList>
</comments>
</file>

<file path=xl/comments8.xml><?xml version="1.0" encoding="utf-8"?>
<comments xmlns="http://schemas.openxmlformats.org/spreadsheetml/2006/main">
  <authors>
    <author/>
  </authors>
  <commentList>
    <comment ref="B82" authorId="0" shapeId="0">
      <text>
        <r>
          <rPr>
            <sz val="11"/>
            <color rgb="FF000000"/>
            <rFont val="Calibri"/>
            <family val="2"/>
            <charset val="1"/>
          </rPr>
          <t>Estimativa de que 5% dos empregados serão substituídos durante um ano</t>
        </r>
      </text>
    </comment>
    <comment ref="C86" authorId="0" shapeId="0">
      <text>
        <r>
          <rPr>
            <sz val="11"/>
            <color rgb="FF000000"/>
            <rFont val="Calibri"/>
            <family val="2"/>
            <charset val="1"/>
          </rPr>
          <t>Conforme recomendação Acórdão TCU nº 3.006/2010 e nº 1.094/2007</t>
        </r>
      </text>
    </comment>
    <comment ref="D128" authorId="0" shapeId="0">
      <text>
        <r>
          <rPr>
            <sz val="11"/>
            <color rgb="FF000000"/>
            <rFont val="Calibri"/>
            <family val="2"/>
            <charset val="1"/>
          </rPr>
          <t>Utilizou-se como referência o valor praticado em outros contratos do Tribunal</t>
        </r>
      </text>
    </comment>
  </commentList>
</comments>
</file>

<file path=xl/comments9.xml><?xml version="1.0" encoding="utf-8"?>
<comments xmlns="http://schemas.openxmlformats.org/spreadsheetml/2006/main">
  <authors>
    <author/>
  </authors>
  <commentList>
    <comment ref="E28" authorId="0" shapeId="0">
      <text>
        <r>
          <rPr>
            <sz val="11"/>
            <color rgb="FF000000"/>
            <rFont val="Calibri"/>
            <family val="2"/>
            <charset val="1"/>
          </rPr>
          <t>A quantidade informada pelo fiscal foi reduzida pela metade pois o valor unitário da Alimentação já considera 2 (duas) refeições.</t>
        </r>
      </text>
    </comment>
  </commentList>
</comments>
</file>

<file path=xl/sharedStrings.xml><?xml version="1.0" encoding="utf-8"?>
<sst xmlns="http://schemas.openxmlformats.org/spreadsheetml/2006/main" count="1856" uniqueCount="269">
  <si>
    <t>PLANILHA DE CUSTOS E FORMAÇÃO DE PREÇOS</t>
  </si>
  <si>
    <t>MODELO PARA A CONSOLIDAÇÃO E APRESENTAÇÃO DE PROPOSTAS</t>
  </si>
  <si>
    <t>Planilha em conformidade com as INs 05/2017 e 07/2018.</t>
  </si>
  <si>
    <r>
      <rPr>
        <sz val="12"/>
        <rFont val="Calibri"/>
        <family val="2"/>
        <charset val="1"/>
      </rPr>
      <t xml:space="preserve">Eletricista de instalações (edifícios) e Trabalhador da manutenção de edificações - Pregão Eletrônico nº </t>
    </r>
    <r>
      <rPr>
        <sz val="12"/>
        <color rgb="FFFF0000"/>
        <rFont val="Calibri"/>
        <family val="2"/>
        <charset val="1"/>
      </rPr>
      <t>XXX</t>
    </r>
  </si>
  <si>
    <t>ITEM</t>
  </si>
  <si>
    <t>UNIDADE</t>
  </si>
  <si>
    <t>POSTO</t>
  </si>
  <si>
    <t>VALOR MENSAL POR POSTO</t>
  </si>
  <si>
    <t>NÚMERO DE POSTOS</t>
  </si>
  <si>
    <t>VALOR MENSAL TOTAL</t>
  </si>
  <si>
    <t>Cascavel</t>
  </si>
  <si>
    <r>
      <rPr>
        <sz val="12"/>
        <rFont val="Calibri"/>
        <family val="2"/>
        <charset val="1"/>
      </rPr>
      <t>Trabalhador da manutenção de edificações</t>
    </r>
    <r>
      <rPr>
        <sz val="12"/>
        <color rgb="FF000000"/>
        <rFont val="Calibri"/>
        <family val="2"/>
        <charset val="1"/>
      </rPr>
      <t xml:space="preserve"> 44h</t>
    </r>
  </si>
  <si>
    <r>
      <rPr>
        <sz val="12"/>
        <rFont val="Calibri"/>
        <family val="2"/>
        <charset val="1"/>
      </rPr>
      <t>Eletricista de instalações (edifícios)</t>
    </r>
    <r>
      <rPr>
        <sz val="12"/>
        <color rgb="FF000000"/>
        <rFont val="Calibri"/>
        <family val="2"/>
        <charset val="1"/>
      </rPr>
      <t xml:space="preserve"> 44h</t>
    </r>
  </si>
  <si>
    <t>Curitiba</t>
  </si>
  <si>
    <t>Londrina</t>
  </si>
  <si>
    <t>Maringá</t>
  </si>
  <si>
    <t>Mão-de-obra total</t>
  </si>
  <si>
    <t>DESCRIÇÃO</t>
  </si>
  <si>
    <t>Deslocamento</t>
  </si>
  <si>
    <t>Equipamentos</t>
  </si>
  <si>
    <t>Equipamentos de Proteção Individual (EPIs)</t>
  </si>
  <si>
    <t>EPIs Covid-19</t>
  </si>
  <si>
    <t>Total mensal máximo</t>
  </si>
  <si>
    <t>A</t>
  </si>
  <si>
    <t>Data de Apresentação da Proposta (dia/mês/ano)</t>
  </si>
  <si>
    <t>B</t>
  </si>
  <si>
    <t>Município/UF</t>
  </si>
  <si>
    <t>C</t>
  </si>
  <si>
    <t>Ano Acordo, Convenção ou Sentença Normativa em Dissídio Coletivo</t>
  </si>
  <si>
    <t>D</t>
  </si>
  <si>
    <t>Nº de meses de execução contratual</t>
  </si>
  <si>
    <t>Tipo de Serviço</t>
  </si>
  <si>
    <t>Trabalhador da manutenção de edificações</t>
  </si>
  <si>
    <t>Classificação Brasileira de Ocupações (CBO)</t>
  </si>
  <si>
    <t>5143-25</t>
  </si>
  <si>
    <r>
      <rPr>
        <sz val="12"/>
        <rFont val="Calibri"/>
        <family val="2"/>
        <charset val="1"/>
      </rPr>
      <t xml:space="preserve">Salário-base adotado 
</t>
    </r>
    <r>
      <rPr>
        <sz val="10"/>
        <rFont val="Calibri"/>
        <family val="2"/>
        <charset val="1"/>
      </rPr>
      <t>(correspondente ao 3º Quartil que equivale à média salarial dos 25% dos maiores salários no Estado do Paraná, conforme consta no site “Salário.com.br” em junho de 2022)</t>
    </r>
  </si>
  <si>
    <t>Categoria Profissional (vinculada à execução contratual)</t>
  </si>
  <si>
    <t>Profissional (3.18 CCT SIEMACO 2022)</t>
  </si>
  <si>
    <t>Data Base da categoria (dia/mês/ano)</t>
  </si>
  <si>
    <t>Localidade</t>
  </si>
  <si>
    <t>Quantidade de pessoas por posto</t>
  </si>
  <si>
    <t>Módulo 1 - Composição da Remuneração</t>
  </si>
  <si>
    <t>Composição da Remuneração</t>
  </si>
  <si>
    <t>Valor (R$)</t>
  </si>
  <si>
    <t>Salário-Base</t>
  </si>
  <si>
    <t>Adicional de Periculosidade</t>
  </si>
  <si>
    <t>Adicional de Insalubridade</t>
  </si>
  <si>
    <t>Adicional Noturno</t>
  </si>
  <si>
    <t>E</t>
  </si>
  <si>
    <t>Adicional de Hora Noturna Reduzida</t>
  </si>
  <si>
    <t>F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</si>
  <si>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</si>
  <si>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</si>
  <si>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</si>
  <si>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</si>
  <si>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</si>
  <si>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</si>
  <si>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</si>
  <si>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Base de cálculo para o Submódulo 2.2 (Somatório do Módulo 1 e do Submódulo 2.1)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</si>
  <si>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</si>
  <si>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</si>
  <si>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</si>
  <si>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</si>
  <si>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</si>
  <si>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</si>
  <si>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</si>
  <si>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</si>
  <si>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</si>
  <si>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</si>
  <si>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</si>
  <si>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</si>
  <si>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</si>
  <si>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</si>
  <si>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</si>
  <si>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</si>
  <si>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</si>
  <si>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</si>
  <si>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</si>
  <si>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Vale Alimentação (com desconto de 20% referente ao PAT)</t>
  </si>
  <si>
    <t>Vale Alimentação (com desconto de 20% referente ao PAT) - Férias</t>
  </si>
  <si>
    <t>Auxílio Saúde</t>
  </si>
  <si>
    <t>Assistência Social Familiar</t>
  </si>
  <si>
    <t>Fundo de Formação Profissional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</si>
  <si>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</si>
  <si>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</si>
  <si>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</si>
  <si>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</si>
  <si>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</si>
  <si>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</si>
  <si>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</si>
  <si>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</si>
  <si>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dos encargos do submódulo 2.2 sobre o Aviso Prévio Trabalhado</t>
  </si>
  <si>
    <t>Multa do FGTS e contribuição social sobre o Aviso Prévio Trabalhado</t>
  </si>
  <si>
    <t>Módulo 4 - Custo de Reposição do Profissional Ausente</t>
  </si>
  <si>
    <t>Submódulo 4.1 - Substituto nas Ausências Legais</t>
  </si>
  <si>
    <t>4.1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</si>
  <si>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</si>
  <si>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</si>
  <si>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</si>
  <si>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</si>
  <si>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</si>
  <si>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</si>
  <si>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Ausências por Doença</t>
  </si>
  <si>
    <t>Subtotal</t>
  </si>
  <si>
    <t>Incidência do Submódulo 2.2 sobre a sustituição nas Ausências Legais</t>
  </si>
  <si>
    <t>Submódulo 4.2 - Substituto na Intrajornada</t>
  </si>
  <si>
    <t>4.2</t>
  </si>
  <si>
    <t>Substituto na Intrajornada</t>
  </si>
  <si>
    <t>Substituto na cobertura de Intervalo para repouso ou alimentação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</si>
  <si>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</si>
  <si>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</si>
  <si>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</si>
  <si>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</si>
  <si>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</si>
  <si>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Treinamento - Resolução CSJT 98/2012</t>
  </si>
  <si>
    <t>Módulo 6 - Custos Indiretos, Tributos e Lucro</t>
  </si>
  <si>
    <t>Custos Indiretos, Tributos e Lucro</t>
  </si>
  <si>
    <t>Custos Indiretos</t>
  </si>
  <si>
    <t>Lucro</t>
  </si>
  <si>
    <t>Tributos</t>
  </si>
  <si>
    <t>C.1. Tributos Federais (PIS e COFINS)</t>
  </si>
  <si>
    <t>C.2. Tributos Estaduais (especificar)</t>
  </si>
  <si>
    <t>C.3. Tributos Municipais (ISS)</t>
  </si>
  <si>
    <t>2. QUADRO-RESUMO DO CUSTO POR EMPREGADO</t>
  </si>
  <si>
    <t>Mão de obra vinculada à execução contratual (valor por empregado)</t>
  </si>
  <si>
    <t>Subtotal (A + B +C+ D+E)</t>
  </si>
  <si>
    <t>Módulo 6 – Custos Indiretos, Tributos e Lucro</t>
  </si>
  <si>
    <t xml:space="preserve">Valor Total por Empregado </t>
  </si>
  <si>
    <t>Eletricista de instalações (edifícios)</t>
  </si>
  <si>
    <t>7156-10</t>
  </si>
  <si>
    <t>Salário Normativo da Categoria Profissional</t>
  </si>
  <si>
    <t>Oficial Sinduscon Oeste 2022/2023</t>
  </si>
  <si>
    <t>Vale alimentação</t>
  </si>
  <si>
    <t>Vale alimentação - Férias</t>
  </si>
  <si>
    <t>Alimentação Natalina</t>
  </si>
  <si>
    <t>Café da Manhã</t>
  </si>
  <si>
    <t>Seguro de Vida em Grupo</t>
  </si>
  <si>
    <r>
      <rPr>
        <sz val="12"/>
        <rFont val="Calibri"/>
        <family val="2"/>
        <charset val="1"/>
      </rPr>
      <t xml:space="preserve">Salário-base adotado 
</t>
    </r>
    <r>
      <rPr>
        <sz val="10"/>
        <rFont val="Calibri"/>
        <family val="2"/>
        <charset val="1"/>
      </rPr>
      <t>(Correspondente ao 3º Quartil que equivale à média salarial dos 25% dos maiores salários no Estado do Paraná, conforme consta no site “Salário.com.br” em junho de 2022)</t>
    </r>
  </si>
  <si>
    <t>Alimentação Convênio (Vale Compras)</t>
  </si>
  <si>
    <t>Alimentação Férias</t>
  </si>
  <si>
    <t>Auxílio-Saúde</t>
  </si>
  <si>
    <t>Alimentação Convênio (Vale Mercado)</t>
  </si>
  <si>
    <t>Alimentação Convênio (Vale Mercado) - Férias</t>
  </si>
  <si>
    <t>Vale-Refeição (condicionado à Cláusula 11.3 da CCT)</t>
  </si>
  <si>
    <t>Oficial Sinduscon Norte 2022/2023</t>
  </si>
  <si>
    <t>Vale Compras (Alimentação)</t>
  </si>
  <si>
    <t>Vale Compras (Alimentação) - Férias</t>
  </si>
  <si>
    <t>Adicional-Estímulo (pagamento condicionado à Cláusula 19ª da CCT)</t>
  </si>
  <si>
    <t>Vale-Refeição (Café-da-manhã)</t>
  </si>
  <si>
    <t>Kit Material-Escolar (pagamento condicionado à Cláusula 29 § 18º da CCT)</t>
  </si>
  <si>
    <t>Deslocamento Polo Cascavel</t>
  </si>
  <si>
    <t>Despesas</t>
  </si>
  <si>
    <t>Qtd. prevista</t>
  </si>
  <si>
    <t>Valor unitário</t>
  </si>
  <si>
    <t>Valor total</t>
  </si>
  <si>
    <t>Passagem de ônibus intermunicipal (ida e volta)</t>
  </si>
  <si>
    <t>Pernoite em hotel (preço médio)</t>
  </si>
  <si>
    <t>Alimentação (preço médio de 2 refeições)</t>
  </si>
  <si>
    <t>Subtotal anual para o Polo Cascavel</t>
  </si>
  <si>
    <t>Despesas administrativas e lucro</t>
  </si>
  <si>
    <t>Tributação sobre faturamento</t>
  </si>
  <si>
    <t>Despesas adm.</t>
  </si>
  <si>
    <t>I.S.S.</t>
  </si>
  <si>
    <t>PIS</t>
  </si>
  <si>
    <t>Total despesas</t>
  </si>
  <si>
    <t>COFINS</t>
  </si>
  <si>
    <t>Base para tributação</t>
  </si>
  <si>
    <t>Total tributação</t>
  </si>
  <si>
    <t>Custo máximo anual previsto para Deslocamento no Polo Cascavel</t>
  </si>
  <si>
    <t>Custo mensal previsto para Deslocamento no Polo Cascavel (máximo anual/12)</t>
  </si>
  <si>
    <t>Deslocamento Polo Curitiba</t>
  </si>
  <si>
    <t>Subtotal anual para o Polo Curitiba</t>
  </si>
  <si>
    <t>Custo máximo anual previsto para Deslocamento no Polo Curitiba</t>
  </si>
  <si>
    <t>Custo mensal previsto para Deslocamento no Polo Curitiba (máximo anual/12)</t>
  </si>
  <si>
    <t>Deslocamento Polo Londrina</t>
  </si>
  <si>
    <t>Subtotal anual para o Polo Londrina</t>
  </si>
  <si>
    <t>Custo máximo anual previsto para Deslocamento no Polo Londrina</t>
  </si>
  <si>
    <t>Custo mensal previsto para Deslocamento no Polo Londrina (máximo anual/12)</t>
  </si>
  <si>
    <t>Deslocamento Polo Maringá</t>
  </si>
  <si>
    <t>Subtotal anual para o Polo Maringá</t>
  </si>
  <si>
    <t>Custo máximo anual previsto para Deslocamento no Polo Maringá</t>
  </si>
  <si>
    <t>Custo mensal previsto para Deslocamento no Polo Maringá (máximo anual/12)</t>
  </si>
  <si>
    <t>Uniformes - Manutenção Predial</t>
  </si>
  <si>
    <t>Item</t>
  </si>
  <si>
    <t>Descrição</t>
  </si>
  <si>
    <t>Quantidade</t>
  </si>
  <si>
    <t>Freq. de fornecimento ao ano</t>
  </si>
  <si>
    <t>Quantidade total ao ano</t>
  </si>
  <si>
    <t>Preço Unitário</t>
  </si>
  <si>
    <t>Preço total ao ano</t>
  </si>
  <si>
    <t>Preço total ao mês</t>
  </si>
  <si>
    <t>Calçado de segurança com forração interna e solado PU Bidensidade, isolante e antiderrapante</t>
  </si>
  <si>
    <t>Par de meias em algodão, na cor preta</t>
  </si>
  <si>
    <t>Calça Jeans tradicional, corte reto,  com dois bolsos traseiros, 2 bolsos laterais e 1 embutido</t>
  </si>
  <si>
    <t>Camiseta unissex manga curta, na cor branca, gola careca, 100% algodão</t>
  </si>
  <si>
    <t>Jaleco em brim ou microfibra, com mangas curtas e bolsos frontais, azul ou cinza</t>
  </si>
  <si>
    <t>Jaqueta para frio de nylon, preta, com zíper</t>
  </si>
  <si>
    <t>Crachá de Identificação em PVC, com foto</t>
  </si>
  <si>
    <t>Valor total mensal de uniformes por profissional</t>
  </si>
  <si>
    <t>Uniformes - Eletricistas</t>
  </si>
  <si>
    <t>Cinto preto em couro sintético com fivela</t>
  </si>
  <si>
    <t>Blusa moletom, gola careca, sem zíper e sem bolso</t>
  </si>
  <si>
    <t>EPIs - Manutenção Predial</t>
  </si>
  <si>
    <t>Quantidade total ao ano*</t>
  </si>
  <si>
    <t>Óculos de Segurança Transparente, fabricado em policarbonato óptico virgem de alta qualidade, com armação de nylon e hastes com cumprimento regulável. Filtra 99% dos raios UVA/UVB. Com proteção a partículas volantes multidirecionais; curvatura lateral de suas lentes para aumento da área de proteção. Com antirrisco e ante embaçante, pode ser usado sobreposto aos óculos de grau e seguir cumprimento da NR-6 do Ministério do Trabalho.</t>
  </si>
  <si>
    <t>Luva de cobertura (Vaqueta) Luva de segurança, tipo vaqueta, para cobertura de luva isolante.</t>
  </si>
  <si>
    <t>Protetor auricular individual de inserção descartável, confeccionado em espuma macia moldável com cordão acondicionado em embalagem individual por par.</t>
  </si>
  <si>
    <t>Respirador tipo concha Respirador purificador de ar com válvula, para proteção das vias respiratórias do usuário contra poeiras, névoas tóxicas e baixas concentrações de vapores orgânicos e odores com filtrante para partículas PFF-2, no formato tipo concha.</t>
  </si>
  <si>
    <t>Par de luvas tricotadas em fios de algodão. Material tricotada 4 fios em algodão, tamanho único. 70% Algodão 30% Poliéster, Modelo pigmentada e PVC na palma.</t>
  </si>
  <si>
    <t>Valor total mensal de EPIs por profissional</t>
  </si>
  <si>
    <t>* Entrega efetiva sob demanda</t>
  </si>
  <si>
    <t>EPIs - Eletricistas</t>
  </si>
  <si>
    <t>Capacete de segurança em polietileno classe B tipo II. Cor: Branca. Fixação traseira para terceiro ponto de ancoragem da jugular com queixeira. Ecológica e livre de agentes prejudiciais à saúde, como o Cromo VI. Sem utilização de couro.</t>
  </si>
  <si>
    <t>Par de Luvas Isolantes 500V, classe 00, Tipo II</t>
  </si>
  <si>
    <t>Protetor auricular individual tipo concha. Constituído por duas concha em plástico, resistente a choques mecânicos, unidas por haste flexível em formato ''U", regulável, na cor preta, conchas revestidas com almofadas de espuma em suas laterais e no interior.  Com certificado de aprovação de proteção individual.</t>
  </si>
  <si>
    <t>Número de profissionais lotados em postos de Eletricista</t>
  </si>
  <si>
    <t>Custo mensal previsto</t>
  </si>
  <si>
    <t>EPIs Covid-19 (todos os postos)</t>
  </si>
  <si>
    <t>Frequência estimada de fornecimento ao ano*</t>
  </si>
  <si>
    <r>
      <rPr>
        <u/>
        <sz val="11"/>
        <color rgb="FF000000"/>
        <rFont val="Calibri"/>
        <family val="2"/>
        <charset val="1"/>
      </rPr>
      <t xml:space="preserve">Máscara Lavável de Tecido
</t>
    </r>
    <r>
      <rPr>
        <sz val="10"/>
        <color rgb="FF000000"/>
        <rFont val="Calibri"/>
        <family val="2"/>
        <charset val="1"/>
      </rPr>
      <t>Máscara em tecido triplo, cobrindo o nariz e a boca. 1. A camada exterior deve ser feita de um material resistente à água, como o polipropileno, poliéster ou uma mistura deles; 2. A camada do meio deve agir como um filtro e pode ser feita de um material sintético, como o polipropileno ou de uma camada extra de algodão; 3. A camada interior deve ser feita de um material que absorva a água, como o algodão. Sem estrutura metálica. Acabamentos laterais com elásticos em ambos os lados. Embalado individualmente.</t>
    </r>
  </si>
  <si>
    <t>Número de profissionais</t>
  </si>
  <si>
    <t>Valor total mensal de EPIs Covid-19</t>
  </si>
  <si>
    <t>Custo máximo mensal</t>
  </si>
  <si>
    <t>Equipamentos não-depreciáveis (Ferramentas)</t>
  </si>
  <si>
    <t>Quantidade estimada*</t>
  </si>
  <si>
    <t>Alicate Universal 7”, isolado 1000V, aço especial temperado ou aço cromo vanádio, cabo plástico ergonômico</t>
  </si>
  <si>
    <t>Alicate Universal 8”, isolado 1000V, aço especial temperado ou  aço cromo vanádio, cabo plástico ergonômico</t>
  </si>
  <si>
    <t>Alicate Corte Diagonal 6”, aço especial temperado (aço carbono) ou aço cromo vanádio, acabamento fosfatizado, cabo plástico ergonômico</t>
  </si>
  <si>
    <t>Alicate Bico Meia Cana 6”, Corpo forjado em aço especial e temperado ou aço cromo vanádio, cabo plástico ergonômico</t>
  </si>
  <si>
    <t>Alicate bomba d’água 10", em aço especial temperado ou aço cromo vanádio, cabo ergonômico</t>
  </si>
  <si>
    <t>Alicate de pressão 10”, aço especial temperado ou aço cromo vanádio</t>
  </si>
  <si>
    <t>Chave de Fenda Comum 1/8 x 4”, em aço especial temperado ou aço cromo vanádio, cabo plástico ergonômico</t>
  </si>
  <si>
    <t>Chave de Fenda Comum 3/16x3”, em aço especial temperado ou aço cromo vanádio, cabo plástico ergonômico</t>
  </si>
  <si>
    <t xml:space="preserve">Chave de Fenda Comum 5/16 x 6”, em aço especial temperado ou aço cromo vanádio, cabo plástico ergonômico </t>
  </si>
  <si>
    <t>Chave de Fenda Comum 1/4 x 6”, em aço especial temperado ou aço cromo vanádio, cabo plástico ergonômico</t>
  </si>
  <si>
    <t>Chave de Fenda Cruzada 1/8 x 4", em aço especial temperado ou aço cromo vanádio, cabo plástico ergonômico</t>
  </si>
  <si>
    <t>Chave de Fenda Cruzada 3/16x3”, em aço especial temperado ou aço cromo vanádio, cabo plástico ergonômico</t>
  </si>
  <si>
    <t xml:space="preserve">Chave de Fenda Cruzada 5/16 x 6”, em aço especial temperado ou aço cromo vanádio, cabo plástico ergonômico </t>
  </si>
  <si>
    <t>Chave de Fenda Cruzada 1/4 x 6”, em aço especial temperado ou aço cromo vanádio, cabo plástico ergonômico</t>
  </si>
  <si>
    <t>Jogo de Chaves Allen Longas 1,5 a 10mm 9 Peças, em aço cromo vanádio, acabamento fosfotizado e suporte plástico</t>
  </si>
  <si>
    <t>Chave soquete tipo canhão 11 mm, em aço especial temperado, cabo ergonômico</t>
  </si>
  <si>
    <t>Chave soquete tipo canhão 12 mm, em aço especial temperado, cabo ergonômico</t>
  </si>
  <si>
    <t>Jogo de Chave L tipo Torx com 9 Peças, de T10 a T50</t>
  </si>
  <si>
    <t>Chave teste com ponta de fenda de 1/8"x3", em aço temperado, acabamento niquelado, cabo injetado, capacidade de 100 V a 500 V, identificadora de fase</t>
  </si>
  <si>
    <t xml:space="preserve">Trena de bolso profissional, alcance 10 metros, largura da fita de 1”, com caixa plástica emborrachada para maior durabilidade e ergonomia. </t>
  </si>
  <si>
    <t>Jogo de ponteiras para parafusadeira contendo fendas simples e duplas, min. 25 peças</t>
  </si>
  <si>
    <t>Arco de serra fixo 12" com pintura eletrostática a pó na cor preta, lâmina de serra e cabo injetado em polipropileno</t>
  </si>
  <si>
    <t>Lâmina de Serra Manual 24 Dentes 12”</t>
  </si>
  <si>
    <t>Pistola Aplicadora de Silicone 9” em aço</t>
  </si>
  <si>
    <t>Estilete retrátil 25mm para trabalho pesado, com guia de aço e trava</t>
  </si>
  <si>
    <t>Martelo de unha 27mm, com cabo de fibra</t>
  </si>
  <si>
    <t>Formão chanfrado 5/8” em  aço cromo vanádio</t>
  </si>
  <si>
    <t>Lima chata 8” com cabo plástico</t>
  </si>
  <si>
    <r>
      <rPr>
        <sz val="10"/>
        <rFont val="Calibri"/>
        <family val="2"/>
        <charset val="1"/>
      </rPr>
      <t xml:space="preserve">Alicate amperímetro digital CAT II 1000V para medição de Tensão AC e DC, Corrente AC e Resistência </t>
    </r>
    <r>
      <rPr>
        <i/>
        <sz val="10"/>
        <rFont val="Calibri"/>
        <family val="2"/>
        <charset val="1"/>
      </rPr>
      <t>(referência:  ET 3200 ou similar)</t>
    </r>
  </si>
  <si>
    <t>Alicate crimpador de cabos de rede RJ45</t>
  </si>
  <si>
    <t>Alicate de Inserção Fêmea Punch Down Rj45</t>
  </si>
  <si>
    <r>
      <rPr>
        <sz val="10"/>
        <rFont val="Calibri"/>
        <family val="2"/>
        <charset val="1"/>
      </rPr>
      <t xml:space="preserve">Testador de cabos (Zumbador) </t>
    </r>
    <r>
      <rPr>
        <i/>
        <sz val="10"/>
        <rFont val="Calibri"/>
        <family val="2"/>
        <charset val="1"/>
      </rPr>
      <t>(referência: BSIDE FWT 81 ou similar)</t>
    </r>
  </si>
  <si>
    <r>
      <rPr>
        <sz val="10"/>
        <rFont val="Calibri"/>
        <family val="2"/>
        <charset val="1"/>
      </rPr>
      <t xml:space="preserve">Parafusadeira/Furadeira de Impacto Brushless 1/2 Pol. com 2 Baterias 20V Li-Ion, com Carregador Bivolt e Maleta </t>
    </r>
    <r>
      <rPr>
        <i/>
        <sz val="10"/>
        <rFont val="Calibri"/>
        <family val="2"/>
        <charset val="1"/>
      </rPr>
      <t>(referência: DEWALT-DCD7781D2-BR ou similar)</t>
    </r>
  </si>
  <si>
    <t>Serra copo de videa (metal duro) 60mm completa, com peças de acoplamento</t>
  </si>
  <si>
    <t>Custo máximo anual</t>
  </si>
  <si>
    <t>Custo previsto por mês (custo máximo anual/12)</t>
  </si>
  <si>
    <t>Adicional de Férias</t>
  </si>
  <si>
    <t>13º (décimo terceiro) Salário e Adicional de Férias</t>
  </si>
  <si>
    <t>Profissional Sinduscon Noroeste 22/24</t>
  </si>
  <si>
    <t>Profissional Sinduscon-PR 2022/2024</t>
  </si>
  <si>
    <t>Número de profissionais lotados em postos de Manutenção Predial</t>
  </si>
  <si>
    <t>Valor total mensal de EPIs para Manutenção Predial</t>
  </si>
  <si>
    <t>Valor total mensal de EPIs para Eletricista</t>
  </si>
  <si>
    <t>Total anual máximo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</si>
</sst>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&quot;R$ &quot;* #,##0.00_-;&quot;-R$ &quot;* #,##0.00_-;_-&quot;R$ &quot;* \-??_-;_-@_-"/>
    <numFmt numFmtId="165" formatCode="_-&quot;R$&quot;* #,##0.00_-;&quot;-R$&quot;* #,##0.00_-;_-&quot;R$&quot;* \-??_-;_-@_-"/>
    <numFmt numFmtId="166" formatCode="[$R$-416]\ #,##0.00;[Red]\-[$R$-416]\ #,##0.00"/>
    <numFmt numFmtId="167" formatCode="&quot;R$&quot;#,##0.00"/>
    <numFmt numFmtId="168" formatCode="&quot;R$ &quot;#,##0.00"/>
    <numFmt numFmtId="169" formatCode="d/m/yyyy"/>
    <numFmt numFmtId="170" formatCode="&quot;R$&quot;#,##0.00;[Red]&quot;-R$&quot;#,##0.00"/>
    <numFmt numFmtId="171" formatCode="_-* #,##0.00_-;\-* #,##0.00_-;_-* \-??_-;_-@_-"/>
    <numFmt numFmtId="172" formatCode="_-* #,##0_-;\-* #,##0_-;_-* \-??_-;_-@_-"/>
    <numFmt numFmtId="173" formatCode="&quot;R$&quot;\ #,##0.00"/>
  </numFmts>
  <fonts count="24" x14ac:knownFonts="1">
    <font>
      <sz val="11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b/>
      <sz val="12"/>
      <name val="Calibri"/>
      <family val="2"/>
      <charset val="1"/>
    </font>
    <font>
      <sz val="12"/>
      <name val="Calibri"/>
      <family val="2"/>
      <charset val="1"/>
    </font>
    <font>
      <sz val="12"/>
      <color rgb="FFFF0000"/>
      <name val="Calibri"/>
      <family val="2"/>
      <charset val="1"/>
    </font>
    <font>
      <b/>
      <sz val="1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name val="Calibri"/>
      <family val="2"/>
      <charset val="1"/>
    </font>
    <font>
      <u/>
      <sz val="11"/>
      <color rgb="FF0563C1"/>
      <name val="Calibri"/>
      <family val="2"/>
      <charset val="1"/>
    </font>
    <font>
      <sz val="9"/>
      <color rgb="FF000000"/>
      <name val="Segoe UI"/>
      <family val="2"/>
      <charset val="1"/>
    </font>
    <font>
      <b/>
      <sz val="9"/>
      <color rgb="FF000000"/>
      <name val="Segoe UI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1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u/>
      <sz val="11"/>
      <color rgb="FF000000"/>
      <name val="Calibri"/>
      <family val="2"/>
      <charset val="1"/>
    </font>
    <font>
      <b/>
      <sz val="11"/>
      <name val="Calibri"/>
      <family val="2"/>
      <charset val="1"/>
    </font>
    <font>
      <sz val="11"/>
      <name val="Calibri"/>
      <family val="2"/>
      <charset val="1"/>
    </font>
    <font>
      <i/>
      <sz val="10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2"/>
      <color theme="1"/>
      <name val="Calibri"/>
      <family val="2"/>
      <charset val="1"/>
    </font>
    <font>
      <sz val="12"/>
      <color theme="1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9D9D9"/>
        <bgColor rgb="FFC5E0B4"/>
      </patternFill>
    </fill>
    <fill>
      <patternFill patternType="solid">
        <fgColor rgb="FFBFBFBF"/>
        <bgColor rgb="FFC5E0B4"/>
      </patternFill>
    </fill>
    <fill>
      <patternFill patternType="solid">
        <fgColor rgb="FFC5E0B4"/>
        <bgColor rgb="FFD9D9D9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2">
    <xf numFmtId="0" fontId="0" fillId="0" borderId="0"/>
    <xf numFmtId="171" fontId="21" fillId="0" borderId="0" applyBorder="0" applyProtection="0"/>
    <xf numFmtId="165" fontId="21" fillId="0" borderId="0" applyBorder="0" applyProtection="0"/>
    <xf numFmtId="9" fontId="21" fillId="0" borderId="0" applyBorder="0" applyProtection="0"/>
    <xf numFmtId="0" fontId="8" fillId="0" borderId="0" applyBorder="0" applyProtection="0"/>
    <xf numFmtId="164" fontId="21" fillId="0" borderId="0" applyBorder="0" applyProtection="0"/>
    <xf numFmtId="165" fontId="21" fillId="0" borderId="0" applyBorder="0" applyProtection="0"/>
    <xf numFmtId="0" fontId="21" fillId="0" borderId="0"/>
    <xf numFmtId="0" fontId="21" fillId="0" borderId="0"/>
    <xf numFmtId="0" fontId="21" fillId="0" borderId="0"/>
    <xf numFmtId="9" fontId="21" fillId="0" borderId="0" applyBorder="0" applyProtection="0"/>
    <xf numFmtId="9" fontId="21" fillId="0" borderId="0" applyBorder="0" applyProtection="0"/>
  </cellStyleXfs>
  <cellXfs count="204">
    <xf numFmtId="0" fontId="0" fillId="0" borderId="0" xfId="0"/>
    <xf numFmtId="0" fontId="0" fillId="2" borderId="0" xfId="0" applyFill="1"/>
    <xf numFmtId="0" fontId="1" fillId="2" borderId="0" xfId="9" applyFont="1" applyFill="1"/>
    <xf numFmtId="0" fontId="3" fillId="2" borderId="0" xfId="9" applyFont="1" applyFill="1" applyBorder="1" applyAlignment="1">
      <alignment horizontal="center"/>
    </xf>
    <xf numFmtId="0" fontId="3" fillId="2" borderId="0" xfId="9" applyFont="1" applyFill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166" fontId="5" fillId="3" borderId="1" xfId="2" applyNumberFormat="1" applyFont="1" applyFill="1" applyBorder="1" applyAlignment="1" applyProtection="1">
      <alignment horizontal="center" vertical="center" wrapText="1"/>
    </xf>
    <xf numFmtId="166" fontId="5" fillId="3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1" fillId="2" borderId="2" xfId="9" applyFont="1" applyFill="1" applyBorder="1" applyAlignment="1">
      <alignment horizontal="center" vertical="center"/>
    </xf>
    <xf numFmtId="0" fontId="3" fillId="2" borderId="2" xfId="9" applyFont="1" applyFill="1" applyBorder="1" applyAlignment="1">
      <alignment horizontal="left" vertical="center"/>
    </xf>
    <xf numFmtId="167" fontId="1" fillId="2" borderId="2" xfId="9" applyNumberFormat="1" applyFont="1" applyFill="1" applyBorder="1" applyAlignment="1">
      <alignment horizontal="center" vertical="center"/>
    </xf>
    <xf numFmtId="0" fontId="1" fillId="2" borderId="3" xfId="9" applyFont="1" applyFill="1" applyBorder="1" applyAlignment="1">
      <alignment horizontal="center" vertical="center"/>
    </xf>
    <xf numFmtId="0" fontId="3" fillId="2" borderId="4" xfId="9" applyFont="1" applyFill="1" applyBorder="1" applyAlignment="1">
      <alignment horizontal="left" vertical="center"/>
    </xf>
    <xf numFmtId="167" fontId="1" fillId="2" borderId="4" xfId="9" applyNumberFormat="1" applyFont="1" applyFill="1" applyBorder="1" applyAlignment="1">
      <alignment horizontal="center" vertical="center"/>
    </xf>
    <xf numFmtId="0" fontId="1" fillId="2" borderId="4" xfId="9" applyFont="1" applyFill="1" applyBorder="1" applyAlignment="1">
      <alignment horizontal="center" vertical="center"/>
    </xf>
    <xf numFmtId="0" fontId="3" fillId="2" borderId="5" xfId="9" applyFont="1" applyFill="1" applyBorder="1" applyAlignment="1">
      <alignment horizontal="left" vertical="center"/>
    </xf>
    <xf numFmtId="167" fontId="1" fillId="2" borderId="5" xfId="9" applyNumberFormat="1" applyFont="1" applyFill="1" applyBorder="1" applyAlignment="1">
      <alignment horizontal="center" vertical="center"/>
    </xf>
    <xf numFmtId="0" fontId="1" fillId="2" borderId="5" xfId="9" applyFont="1" applyFill="1" applyBorder="1" applyAlignment="1">
      <alignment horizontal="center" vertical="center"/>
    </xf>
    <xf numFmtId="0" fontId="1" fillId="3" borderId="1" xfId="9" applyFont="1" applyFill="1" applyBorder="1" applyAlignment="1">
      <alignment horizontal="center" vertical="center"/>
    </xf>
    <xf numFmtId="167" fontId="1" fillId="3" borderId="1" xfId="0" applyNumberFormat="1" applyFont="1" applyFill="1" applyBorder="1" applyAlignment="1">
      <alignment horizontal="center"/>
    </xf>
    <xf numFmtId="167" fontId="0" fillId="2" borderId="0" xfId="0" applyNumberFormat="1" applyFill="1"/>
    <xf numFmtId="0" fontId="0" fillId="2" borderId="0" xfId="0" applyFill="1" applyBorder="1"/>
    <xf numFmtId="0" fontId="1" fillId="2" borderId="0" xfId="9" applyFont="1" applyFill="1" applyBorder="1" applyAlignment="1">
      <alignment horizontal="center"/>
    </xf>
    <xf numFmtId="167" fontId="1" fillId="2" borderId="0" xfId="0" applyNumberFormat="1" applyFont="1" applyFill="1" applyBorder="1" applyAlignment="1">
      <alignment horizontal="center"/>
    </xf>
    <xf numFmtId="167" fontId="1" fillId="2" borderId="6" xfId="0" applyNumberFormat="1" applyFont="1" applyFill="1" applyBorder="1" applyAlignment="1">
      <alignment horizontal="center"/>
    </xf>
    <xf numFmtId="0" fontId="1" fillId="2" borderId="6" xfId="9" applyFont="1" applyFill="1" applyBorder="1" applyAlignment="1">
      <alignment horizontal="center" vertical="center" wrapText="1"/>
    </xf>
    <xf numFmtId="167" fontId="3" fillId="2" borderId="6" xfId="0" applyNumberFormat="1" applyFont="1" applyFill="1" applyBorder="1" applyAlignment="1">
      <alignment horizontal="center"/>
    </xf>
    <xf numFmtId="167" fontId="6" fillId="3" borderId="1" xfId="0" applyNumberFormat="1" applyFont="1" applyFill="1" applyBorder="1" applyAlignment="1">
      <alignment horizontal="center"/>
    </xf>
    <xf numFmtId="168" fontId="0" fillId="2" borderId="0" xfId="0" applyNumberFormat="1" applyFill="1"/>
    <xf numFmtId="0" fontId="1" fillId="0" borderId="0" xfId="9" applyFont="1"/>
    <xf numFmtId="0" fontId="3" fillId="0" borderId="0" xfId="9" applyFont="1" applyAlignment="1">
      <alignment horizontal="center"/>
    </xf>
    <xf numFmtId="0" fontId="3" fillId="0" borderId="6" xfId="9" applyFont="1" applyBorder="1" applyAlignment="1">
      <alignment horizontal="center" vertical="center" wrapText="1"/>
    </xf>
    <xf numFmtId="0" fontId="3" fillId="0" borderId="6" xfId="9" applyFont="1" applyBorder="1" applyAlignment="1">
      <alignment vertical="center" wrapText="1"/>
    </xf>
    <xf numFmtId="0" fontId="3" fillId="0" borderId="0" xfId="9" applyFont="1" applyBorder="1" applyAlignment="1">
      <alignment horizontal="center" vertical="center" wrapText="1"/>
    </xf>
    <xf numFmtId="0" fontId="3" fillId="0" borderId="0" xfId="9" applyFont="1" applyBorder="1" applyAlignment="1">
      <alignment vertical="center" wrapText="1"/>
    </xf>
    <xf numFmtId="0" fontId="6" fillId="0" borderId="6" xfId="9" applyFont="1" applyBorder="1" applyAlignment="1">
      <alignment horizontal="center" vertical="center" wrapText="1"/>
    </xf>
    <xf numFmtId="0" fontId="1" fillId="0" borderId="6" xfId="9" applyFont="1" applyBorder="1" applyAlignment="1">
      <alignment horizontal="center" vertical="center" wrapText="1"/>
    </xf>
    <xf numFmtId="0" fontId="1" fillId="0" borderId="6" xfId="9" applyFont="1" applyBorder="1" applyAlignment="1">
      <alignment horizontal="left" vertical="center" wrapText="1"/>
    </xf>
    <xf numFmtId="167" fontId="1" fillId="0" borderId="6" xfId="9" applyNumberFormat="1" applyFont="1" applyBorder="1"/>
    <xf numFmtId="167" fontId="6" fillId="0" borderId="6" xfId="9" applyNumberFormat="1" applyFont="1" applyBorder="1"/>
    <xf numFmtId="167" fontId="1" fillId="0" borderId="0" xfId="9" applyNumberFormat="1" applyFont="1"/>
    <xf numFmtId="0" fontId="6" fillId="0" borderId="0" xfId="9" applyFont="1" applyAlignment="1">
      <alignment vertical="center"/>
    </xf>
    <xf numFmtId="9" fontId="21" fillId="0" borderId="0" xfId="10" applyBorder="1" applyProtection="1"/>
    <xf numFmtId="0" fontId="6" fillId="0" borderId="0" xfId="9" applyFont="1" applyBorder="1" applyAlignment="1">
      <alignment horizontal="center" vertical="center" wrapText="1"/>
    </xf>
    <xf numFmtId="167" fontId="6" fillId="0" borderId="0" xfId="9" applyNumberFormat="1" applyFont="1" applyBorder="1"/>
    <xf numFmtId="0" fontId="1" fillId="0" borderId="6" xfId="9" applyFont="1" applyBorder="1" applyAlignment="1">
      <alignment vertical="center" wrapText="1"/>
    </xf>
    <xf numFmtId="10" fontId="1" fillId="0" borderId="6" xfId="9" applyNumberFormat="1" applyFont="1" applyBorder="1" applyAlignment="1">
      <alignment horizontal="center" vertical="center" wrapText="1"/>
    </xf>
    <xf numFmtId="167" fontId="1" fillId="0" borderId="6" xfId="9" applyNumberFormat="1" applyFont="1" applyBorder="1" applyAlignment="1">
      <alignment horizontal="right" vertical="center" wrapText="1"/>
    </xf>
    <xf numFmtId="10" fontId="6" fillId="0" borderId="6" xfId="9" applyNumberFormat="1" applyFont="1" applyBorder="1" applyAlignment="1">
      <alignment horizontal="center" vertical="center" wrapText="1"/>
    </xf>
    <xf numFmtId="167" fontId="6" fillId="0" borderId="6" xfId="9" applyNumberFormat="1" applyFont="1" applyBorder="1" applyAlignment="1">
      <alignment horizontal="right"/>
    </xf>
    <xf numFmtId="0" fontId="6" fillId="0" borderId="6" xfId="9" applyFont="1" applyBorder="1" applyAlignment="1">
      <alignment vertical="center" wrapText="1"/>
    </xf>
    <xf numFmtId="167" fontId="3" fillId="0" borderId="6" xfId="11" applyNumberFormat="1" applyFont="1" applyBorder="1" applyAlignment="1" applyProtection="1">
      <alignment horizontal="right" vertical="center" wrapText="1"/>
    </xf>
    <xf numFmtId="167" fontId="1" fillId="0" borderId="6" xfId="9" applyNumberFormat="1" applyFont="1" applyBorder="1" applyAlignment="1">
      <alignment vertical="center" wrapText="1"/>
    </xf>
    <xf numFmtId="167" fontId="6" fillId="0" borderId="6" xfId="9" applyNumberFormat="1" applyFont="1" applyBorder="1" applyAlignment="1">
      <alignment horizontal="right" vertical="center" wrapText="1"/>
    </xf>
    <xf numFmtId="0" fontId="1" fillId="0" borderId="0" xfId="9" applyFont="1" applyAlignment="1">
      <alignment vertical="center"/>
    </xf>
    <xf numFmtId="0" fontId="6" fillId="0" borderId="7" xfId="9" applyFont="1" applyBorder="1" applyAlignment="1">
      <alignment vertical="center" wrapText="1"/>
    </xf>
    <xf numFmtId="0" fontId="1" fillId="0" borderId="7" xfId="9" applyFont="1" applyBorder="1" applyAlignment="1">
      <alignment vertical="center" wrapText="1"/>
    </xf>
    <xf numFmtId="10" fontId="1" fillId="0" borderId="6" xfId="9" applyNumberFormat="1" applyFont="1" applyBorder="1" applyAlignment="1">
      <alignment horizontal="center" vertical="center" wrapText="1"/>
    </xf>
    <xf numFmtId="10" fontId="1" fillId="0" borderId="0" xfId="3" applyNumberFormat="1" applyFont="1" applyBorder="1" applyAlignment="1" applyProtection="1"/>
    <xf numFmtId="10" fontId="21" fillId="0" borderId="0" xfId="10" applyNumberFormat="1" applyBorder="1" applyProtection="1"/>
    <xf numFmtId="0" fontId="6" fillId="0" borderId="7" xfId="9" applyFont="1" applyBorder="1" applyAlignment="1">
      <alignment horizontal="center" vertical="center" wrapText="1"/>
    </xf>
    <xf numFmtId="0" fontId="1" fillId="2" borderId="8" xfId="9" applyFont="1" applyFill="1" applyBorder="1" applyAlignment="1">
      <alignment vertical="center" wrapText="1"/>
    </xf>
    <xf numFmtId="10" fontId="1" fillId="2" borderId="6" xfId="9" applyNumberFormat="1" applyFont="1" applyFill="1" applyBorder="1" applyAlignment="1">
      <alignment horizontal="center" vertical="center" wrapText="1"/>
    </xf>
    <xf numFmtId="167" fontId="1" fillId="2" borderId="6" xfId="9" applyNumberFormat="1" applyFont="1" applyFill="1" applyBorder="1" applyAlignment="1">
      <alignment horizontal="right" vertical="center" wrapText="1"/>
    </xf>
    <xf numFmtId="167" fontId="3" fillId="0" borderId="6" xfId="9" applyNumberFormat="1" applyFont="1" applyBorder="1"/>
    <xf numFmtId="0" fontId="1" fillId="2" borderId="6" xfId="9" applyFont="1" applyFill="1" applyBorder="1" applyAlignment="1">
      <alignment vertical="center" wrapText="1"/>
    </xf>
    <xf numFmtId="10" fontId="1" fillId="2" borderId="6" xfId="10" applyNumberFormat="1" applyFont="1" applyFill="1" applyBorder="1" applyAlignment="1" applyProtection="1">
      <alignment horizontal="center"/>
    </xf>
    <xf numFmtId="167" fontId="1" fillId="2" borderId="6" xfId="9" applyNumberFormat="1" applyFont="1" applyFill="1" applyBorder="1" applyAlignment="1">
      <alignment horizontal="center" vertical="center" wrapText="1"/>
    </xf>
    <xf numFmtId="0" fontId="8" fillId="0" borderId="0" xfId="4" applyFont="1" applyBorder="1" applyAlignment="1" applyProtection="1"/>
    <xf numFmtId="10" fontId="1" fillId="0" borderId="6" xfId="10" applyNumberFormat="1" applyFont="1" applyBorder="1" applyAlignment="1" applyProtection="1">
      <alignment horizontal="center"/>
    </xf>
    <xf numFmtId="167" fontId="1" fillId="0" borderId="6" xfId="9" applyNumberFormat="1" applyFont="1" applyBorder="1" applyAlignment="1">
      <alignment horizontal="center" vertical="center" wrapText="1"/>
    </xf>
    <xf numFmtId="10" fontId="3" fillId="0" borderId="6" xfId="10" applyNumberFormat="1" applyFont="1" applyBorder="1" applyAlignment="1" applyProtection="1">
      <alignment horizontal="center"/>
    </xf>
    <xf numFmtId="0" fontId="1" fillId="0" borderId="0" xfId="9" applyFont="1" applyAlignment="1">
      <alignment wrapText="1"/>
    </xf>
    <xf numFmtId="167" fontId="6" fillId="0" borderId="6" xfId="9" applyNumberFormat="1" applyFont="1" applyBorder="1" applyAlignment="1">
      <alignment horizontal="center" vertical="center" wrapText="1"/>
    </xf>
    <xf numFmtId="170" fontId="1" fillId="0" borderId="6" xfId="9" applyNumberFormat="1" applyFont="1" applyBorder="1" applyAlignment="1">
      <alignment vertical="center" wrapText="1"/>
    </xf>
    <xf numFmtId="2" fontId="0" fillId="0" borderId="0" xfId="3" applyNumberFormat="1" applyFont="1" applyBorder="1" applyAlignment="1" applyProtection="1"/>
    <xf numFmtId="9" fontId="1" fillId="0" borderId="6" xfId="3" applyFont="1" applyBorder="1" applyAlignment="1" applyProtection="1">
      <alignment vertical="center" wrapText="1"/>
    </xf>
    <xf numFmtId="167" fontId="3" fillId="2" borderId="6" xfId="11" applyNumberFormat="1" applyFont="1" applyFill="1" applyBorder="1" applyAlignment="1" applyProtection="1">
      <alignment horizontal="right" vertical="center" wrapText="1"/>
    </xf>
    <xf numFmtId="0" fontId="0" fillId="2" borderId="0" xfId="0" applyFill="1" applyBorder="1" applyAlignment="1">
      <alignment horizontal="center"/>
    </xf>
    <xf numFmtId="0" fontId="11" fillId="2" borderId="6" xfId="7" applyFont="1" applyFill="1" applyBorder="1" applyAlignment="1">
      <alignment horizontal="center" vertical="center"/>
    </xf>
    <xf numFmtId="0" fontId="12" fillId="2" borderId="6" xfId="7" applyFont="1" applyFill="1" applyBorder="1" applyAlignment="1">
      <alignment horizontal="center" vertical="center"/>
    </xf>
    <xf numFmtId="168" fontId="12" fillId="2" borderId="6" xfId="7" applyNumberFormat="1" applyFont="1" applyFill="1" applyBorder="1" applyAlignment="1">
      <alignment horizontal="center" vertical="center"/>
    </xf>
    <xf numFmtId="0" fontId="12" fillId="0" borderId="6" xfId="7" applyFont="1" applyBorder="1" applyAlignment="1">
      <alignment horizontal="center" vertical="center"/>
    </xf>
    <xf numFmtId="168" fontId="12" fillId="3" borderId="6" xfId="7" applyNumberFormat="1" applyFont="1" applyFill="1" applyBorder="1" applyAlignment="1">
      <alignment horizontal="center" vertical="center"/>
    </xf>
    <xf numFmtId="0" fontId="14" fillId="2" borderId="6" xfId="8" applyFont="1" applyFill="1" applyBorder="1" applyAlignment="1">
      <alignment horizontal="left" vertical="center" wrapText="1"/>
    </xf>
    <xf numFmtId="10" fontId="12" fillId="5" borderId="6" xfId="8" applyNumberFormat="1" applyFont="1" applyFill="1" applyBorder="1" applyAlignment="1">
      <alignment horizontal="center" vertical="center"/>
    </xf>
    <xf numFmtId="168" fontId="14" fillId="2" borderId="6" xfId="5" applyNumberFormat="1" applyFont="1" applyFill="1" applyBorder="1" applyAlignment="1" applyProtection="1">
      <alignment horizontal="center" vertical="center"/>
    </xf>
    <xf numFmtId="0" fontId="14" fillId="2" borderId="7" xfId="8" applyFont="1" applyFill="1" applyBorder="1" applyAlignment="1">
      <alignment horizontal="left" vertical="center" wrapText="1"/>
    </xf>
    <xf numFmtId="10" fontId="12" fillId="5" borderId="6" xfId="10" applyNumberFormat="1" applyFont="1" applyFill="1" applyBorder="1" applyAlignment="1" applyProtection="1">
      <alignment horizontal="center" vertical="center" wrapText="1"/>
    </xf>
    <xf numFmtId="168" fontId="14" fillId="2" borderId="9" xfId="8" applyNumberFormat="1" applyFont="1" applyFill="1" applyBorder="1" applyAlignment="1">
      <alignment horizontal="center" vertical="center" wrapText="1"/>
    </xf>
    <xf numFmtId="0" fontId="14" fillId="3" borderId="6" xfId="8" applyFont="1" applyFill="1" applyBorder="1" applyAlignment="1">
      <alignment horizontal="left" vertical="center" wrapText="1"/>
    </xf>
    <xf numFmtId="10" fontId="14" fillId="3" borderId="6" xfId="8" applyNumberFormat="1" applyFont="1" applyFill="1" applyBorder="1" applyAlignment="1">
      <alignment horizontal="center" vertical="center"/>
    </xf>
    <xf numFmtId="168" fontId="14" fillId="3" borderId="6" xfId="8" applyNumberFormat="1" applyFont="1" applyFill="1" applyBorder="1" applyAlignment="1">
      <alignment horizontal="center" vertical="center"/>
    </xf>
    <xf numFmtId="168" fontId="12" fillId="2" borderId="10" xfId="7" applyNumberFormat="1" applyFont="1" applyFill="1" applyBorder="1" applyAlignment="1">
      <alignment horizontal="center" vertical="center"/>
    </xf>
    <xf numFmtId="0" fontId="14" fillId="3" borderId="11" xfId="8" applyFont="1" applyFill="1" applyBorder="1" applyAlignment="1">
      <alignment horizontal="left" vertical="center" wrapText="1"/>
    </xf>
    <xf numFmtId="10" fontId="14" fillId="3" borderId="10" xfId="3" applyNumberFormat="1" applyFont="1" applyFill="1" applyBorder="1" applyAlignment="1" applyProtection="1">
      <alignment horizontal="center" vertical="center"/>
    </xf>
    <xf numFmtId="168" fontId="14" fillId="3" borderId="10" xfId="8" applyNumberFormat="1" applyFont="1" applyFill="1" applyBorder="1" applyAlignment="1">
      <alignment horizontal="center" vertical="center"/>
    </xf>
    <xf numFmtId="168" fontId="15" fillId="3" borderId="6" xfId="0" applyNumberFormat="1" applyFont="1" applyFill="1" applyBorder="1" applyAlignment="1">
      <alignment horizontal="center"/>
    </xf>
    <xf numFmtId="168" fontId="0" fillId="2" borderId="6" xfId="0" applyNumberFormat="1" applyFont="1" applyFill="1" applyBorder="1" applyAlignment="1">
      <alignment horizontal="center"/>
    </xf>
    <xf numFmtId="0" fontId="14" fillId="3" borderId="7" xfId="8" applyFont="1" applyFill="1" applyBorder="1" applyAlignment="1">
      <alignment horizontal="left" vertical="center" wrapText="1"/>
    </xf>
    <xf numFmtId="10" fontId="14" fillId="3" borderId="6" xfId="3" applyNumberFormat="1" applyFont="1" applyFill="1" applyBorder="1" applyAlignment="1" applyProtection="1">
      <alignment horizontal="center" vertical="center"/>
    </xf>
    <xf numFmtId="0" fontId="6" fillId="0" borderId="9" xfId="9" applyFont="1" applyBorder="1" applyAlignment="1">
      <alignment horizontal="center" vertical="center" wrapText="1"/>
    </xf>
    <xf numFmtId="0" fontId="0" fillId="0" borderId="6" xfId="9" applyFont="1" applyBorder="1" applyAlignment="1">
      <alignment vertical="center" wrapText="1"/>
    </xf>
    <xf numFmtId="0" fontId="1" fillId="0" borderId="9" xfId="9" applyFont="1" applyBorder="1" applyAlignment="1">
      <alignment horizontal="center" vertical="center" wrapText="1"/>
    </xf>
    <xf numFmtId="166" fontId="1" fillId="5" borderId="9" xfId="9" applyNumberFormat="1" applyFont="1" applyFill="1" applyBorder="1" applyAlignment="1">
      <alignment vertical="center" wrapText="1"/>
    </xf>
    <xf numFmtId="167" fontId="1" fillId="0" borderId="9" xfId="9" applyNumberFormat="1" applyFont="1" applyBorder="1" applyAlignment="1">
      <alignment vertical="center" wrapText="1"/>
    </xf>
    <xf numFmtId="167" fontId="1" fillId="0" borderId="6" xfId="9" applyNumberFormat="1" applyFont="1" applyBorder="1" applyAlignment="1">
      <alignment vertical="center"/>
    </xf>
    <xf numFmtId="0" fontId="1" fillId="2" borderId="9" xfId="9" applyFont="1" applyFill="1" applyBorder="1" applyAlignment="1">
      <alignment horizontal="center" vertical="center" wrapText="1"/>
    </xf>
    <xf numFmtId="167" fontId="6" fillId="3" borderId="6" xfId="9" applyNumberFormat="1" applyFont="1" applyFill="1" applyBorder="1"/>
    <xf numFmtId="172" fontId="1" fillId="0" borderId="6" xfId="1" applyNumberFormat="1" applyFont="1" applyBorder="1" applyAlignment="1" applyProtection="1"/>
    <xf numFmtId="167" fontId="1" fillId="3" borderId="6" xfId="9" applyNumberFormat="1" applyFont="1" applyFill="1" applyBorder="1"/>
    <xf numFmtId="0" fontId="1" fillId="0" borderId="0" xfId="9" applyFont="1" applyBorder="1" applyAlignment="1">
      <alignment horizontal="center" vertical="center" wrapText="1"/>
    </xf>
    <xf numFmtId="167" fontId="1" fillId="0" borderId="0" xfId="9" applyNumberFormat="1" applyFont="1" applyBorder="1"/>
    <xf numFmtId="0" fontId="0" fillId="0" borderId="0" xfId="0" applyFont="1"/>
    <xf numFmtId="0" fontId="17" fillId="0" borderId="6" xfId="9" applyFont="1" applyBorder="1" applyAlignment="1">
      <alignment vertical="center" wrapText="1"/>
    </xf>
    <xf numFmtId="0" fontId="0" fillId="2" borderId="6" xfId="8" applyFont="1" applyFill="1" applyBorder="1" applyAlignment="1">
      <alignment horizontal="left" vertical="center" wrapText="1"/>
    </xf>
    <xf numFmtId="10" fontId="19" fillId="5" borderId="6" xfId="8" applyNumberFormat="1" applyFont="1" applyFill="1" applyBorder="1" applyAlignment="1">
      <alignment horizontal="center" vertical="center"/>
    </xf>
    <xf numFmtId="168" fontId="19" fillId="2" borderId="6" xfId="5" applyNumberFormat="1" applyFont="1" applyFill="1" applyBorder="1" applyAlignment="1" applyProtection="1">
      <alignment horizontal="center" vertical="center"/>
    </xf>
    <xf numFmtId="0" fontId="19" fillId="2" borderId="7" xfId="8" applyFont="1" applyFill="1" applyBorder="1" applyAlignment="1">
      <alignment horizontal="left" vertical="center" wrapText="1"/>
    </xf>
    <xf numFmtId="10" fontId="19" fillId="5" borderId="6" xfId="10" applyNumberFormat="1" applyFont="1" applyFill="1" applyBorder="1" applyAlignment="1" applyProtection="1">
      <alignment horizontal="center" vertical="center" wrapText="1"/>
    </xf>
    <xf numFmtId="168" fontId="0" fillId="2" borderId="9" xfId="8" applyNumberFormat="1" applyFont="1" applyFill="1" applyBorder="1" applyAlignment="1">
      <alignment horizontal="center" vertical="center" wrapText="1"/>
    </xf>
    <xf numFmtId="0" fontId="0" fillId="3" borderId="6" xfId="8" applyFont="1" applyFill="1" applyBorder="1" applyAlignment="1">
      <alignment horizontal="left" vertical="center" wrapText="1"/>
    </xf>
    <xf numFmtId="10" fontId="19" fillId="3" borderId="6" xfId="8" applyNumberFormat="1" applyFont="1" applyFill="1" applyBorder="1" applyAlignment="1">
      <alignment horizontal="center" vertical="center"/>
    </xf>
    <xf numFmtId="168" fontId="19" fillId="3" borderId="6" xfId="8" applyNumberFormat="1" applyFont="1" applyFill="1" applyBorder="1" applyAlignment="1">
      <alignment horizontal="center" vertical="center"/>
    </xf>
    <xf numFmtId="168" fontId="19" fillId="2" borderId="10" xfId="7" applyNumberFormat="1" applyFont="1" applyFill="1" applyBorder="1" applyAlignment="1">
      <alignment horizontal="center" vertical="center"/>
    </xf>
    <xf numFmtId="0" fontId="0" fillId="3" borderId="11" xfId="8" applyFont="1" applyFill="1" applyBorder="1" applyAlignment="1">
      <alignment horizontal="left" vertical="center" wrapText="1"/>
    </xf>
    <xf numFmtId="10" fontId="0" fillId="3" borderId="10" xfId="3" applyNumberFormat="1" applyFont="1" applyFill="1" applyBorder="1" applyAlignment="1" applyProtection="1">
      <alignment horizontal="center" vertical="center"/>
    </xf>
    <xf numFmtId="168" fontId="0" fillId="3" borderId="10" xfId="8" applyNumberFormat="1" applyFont="1" applyFill="1" applyBorder="1" applyAlignment="1">
      <alignment horizontal="center" vertical="center"/>
    </xf>
    <xf numFmtId="0" fontId="3" fillId="0" borderId="0" xfId="9" applyFont="1" applyAlignment="1">
      <alignment horizontal="center" vertical="center"/>
    </xf>
    <xf numFmtId="167" fontId="1" fillId="5" borderId="9" xfId="9" applyNumberFormat="1" applyFont="1" applyFill="1" applyBorder="1" applyAlignment="1">
      <alignment vertical="center" wrapText="1"/>
    </xf>
    <xf numFmtId="167" fontId="1" fillId="0" borderId="9" xfId="9" applyNumberFormat="1" applyFont="1" applyBorder="1" applyAlignment="1">
      <alignment horizontal="right" vertical="center" wrapText="1"/>
    </xf>
    <xf numFmtId="0" fontId="3" fillId="0" borderId="9" xfId="9" applyFont="1" applyBorder="1" applyAlignment="1">
      <alignment horizontal="center" vertical="center" wrapText="1"/>
    </xf>
    <xf numFmtId="167" fontId="3" fillId="5" borderId="9" xfId="9" applyNumberFormat="1" applyFont="1" applyFill="1" applyBorder="1" applyAlignment="1">
      <alignment vertical="center" wrapText="1"/>
    </xf>
    <xf numFmtId="167" fontId="3" fillId="0" borderId="9" xfId="9" applyNumberFormat="1" applyFont="1" applyBorder="1" applyAlignment="1">
      <alignment horizontal="right" vertical="center" wrapText="1"/>
    </xf>
    <xf numFmtId="167" fontId="1" fillId="0" borderId="0" xfId="9" applyNumberFormat="1" applyFont="1" applyAlignment="1">
      <alignment vertical="center"/>
    </xf>
    <xf numFmtId="0" fontId="2" fillId="3" borderId="6" xfId="9" applyFont="1" applyFill="1" applyBorder="1" applyAlignment="1">
      <alignment horizontal="center" vertical="center" wrapText="1"/>
    </xf>
    <xf numFmtId="167" fontId="2" fillId="3" borderId="6" xfId="9" applyNumberFormat="1" applyFont="1" applyFill="1" applyBorder="1" applyAlignment="1">
      <alignment vertical="center"/>
    </xf>
    <xf numFmtId="167" fontId="6" fillId="0" borderId="0" xfId="9" applyNumberFormat="1" applyFont="1" applyBorder="1" applyAlignment="1">
      <alignment vertical="center"/>
    </xf>
    <xf numFmtId="167" fontId="1" fillId="0" borderId="0" xfId="9" applyNumberFormat="1" applyFont="1" applyBorder="1" applyAlignment="1">
      <alignment vertical="center"/>
    </xf>
    <xf numFmtId="0" fontId="1" fillId="0" borderId="0" xfId="9" applyFont="1" applyBorder="1" applyAlignment="1">
      <alignment vertical="center"/>
    </xf>
    <xf numFmtId="0" fontId="0" fillId="0" borderId="0" xfId="0" applyFont="1" applyBorder="1"/>
    <xf numFmtId="168" fontId="0" fillId="2" borderId="6" xfId="5" applyNumberFormat="1" applyFont="1" applyFill="1" applyBorder="1" applyAlignment="1" applyProtection="1">
      <alignment horizontal="center" vertical="center"/>
    </xf>
    <xf numFmtId="0" fontId="0" fillId="2" borderId="7" xfId="8" applyFont="1" applyFill="1" applyBorder="1" applyAlignment="1">
      <alignment horizontal="left" vertical="center" wrapText="1"/>
    </xf>
    <xf numFmtId="10" fontId="0" fillId="3" borderId="6" xfId="8" applyNumberFormat="1" applyFont="1" applyFill="1" applyBorder="1" applyAlignment="1">
      <alignment horizontal="center" vertical="center"/>
    </xf>
    <xf numFmtId="168" fontId="0" fillId="3" borderId="6" xfId="8" applyNumberFormat="1" applyFont="1" applyFill="1" applyBorder="1" applyAlignment="1">
      <alignment horizontal="center" vertical="center"/>
    </xf>
    <xf numFmtId="0" fontId="16" fillId="3" borderId="11" xfId="8" applyFont="1" applyFill="1" applyBorder="1" applyAlignment="1">
      <alignment horizontal="left" vertical="center" wrapText="1"/>
    </xf>
    <xf numFmtId="167" fontId="0" fillId="0" borderId="6" xfId="9" applyNumberFormat="1" applyFont="1" applyBorder="1" applyAlignment="1">
      <alignment horizontal="center" vertical="center"/>
    </xf>
    <xf numFmtId="0" fontId="22" fillId="0" borderId="6" xfId="9" applyFont="1" applyFill="1" applyBorder="1" applyAlignment="1">
      <alignment horizontal="center" vertical="center" wrapText="1"/>
    </xf>
    <xf numFmtId="0" fontId="23" fillId="0" borderId="6" xfId="9" applyFont="1" applyFill="1" applyBorder="1" applyAlignment="1">
      <alignment horizontal="center" vertical="center" wrapText="1"/>
    </xf>
    <xf numFmtId="167" fontId="23" fillId="0" borderId="6" xfId="9" applyNumberFormat="1" applyFont="1" applyFill="1" applyBorder="1"/>
    <xf numFmtId="167" fontId="22" fillId="0" borderId="6" xfId="9" applyNumberFormat="1" applyFont="1" applyFill="1" applyBorder="1"/>
    <xf numFmtId="10" fontId="1" fillId="0" borderId="0" xfId="9" applyNumberFormat="1" applyFont="1"/>
    <xf numFmtId="173" fontId="0" fillId="2" borderId="0" xfId="0" applyNumberFormat="1" applyFill="1"/>
    <xf numFmtId="0" fontId="6" fillId="3" borderId="1" xfId="9" applyFont="1" applyFill="1" applyBorder="1" applyAlignment="1">
      <alignment horizontal="center"/>
    </xf>
    <xf numFmtId="0" fontId="1" fillId="2" borderId="6" xfId="9" applyFont="1" applyFill="1" applyBorder="1" applyAlignment="1">
      <alignment horizontal="center"/>
    </xf>
    <xf numFmtId="0" fontId="1" fillId="2" borderId="6" xfId="9" applyFont="1" applyFill="1" applyBorder="1" applyAlignment="1">
      <alignment horizontal="center" vertical="center" wrapText="1"/>
    </xf>
    <xf numFmtId="0" fontId="1" fillId="2" borderId="1" xfId="9" applyFont="1" applyFill="1" applyBorder="1" applyAlignment="1">
      <alignment horizontal="center" vertical="center"/>
    </xf>
    <xf numFmtId="0" fontId="1" fillId="3" borderId="1" xfId="9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2" fillId="2" borderId="0" xfId="9" applyFont="1" applyFill="1" applyBorder="1" applyAlignment="1">
      <alignment horizontal="center"/>
    </xf>
    <xf numFmtId="0" fontId="3" fillId="2" borderId="0" xfId="9" applyFont="1" applyFill="1" applyBorder="1" applyAlignment="1">
      <alignment horizontal="center"/>
    </xf>
    <xf numFmtId="0" fontId="3" fillId="2" borderId="0" xfId="9" applyFont="1" applyFill="1" applyBorder="1" applyAlignment="1">
      <alignment horizontal="center" wrapText="1"/>
    </xf>
    <xf numFmtId="0" fontId="1" fillId="0" borderId="6" xfId="9" applyFont="1" applyBorder="1" applyAlignment="1">
      <alignment horizontal="left" vertical="center" wrapText="1"/>
    </xf>
    <xf numFmtId="0" fontId="6" fillId="0" borderId="6" xfId="9" applyFont="1" applyBorder="1" applyAlignment="1">
      <alignment horizontal="center" vertical="center" wrapText="1"/>
    </xf>
    <xf numFmtId="0" fontId="6" fillId="4" borderId="0" xfId="9" applyFont="1" applyFill="1" applyBorder="1" applyAlignment="1">
      <alignment horizontal="center" vertical="center"/>
    </xf>
    <xf numFmtId="0" fontId="6" fillId="3" borderId="0" xfId="9" applyFont="1" applyFill="1" applyBorder="1" applyAlignment="1">
      <alignment horizontal="center" vertical="center"/>
    </xf>
    <xf numFmtId="0" fontId="6" fillId="0" borderId="7" xfId="9" applyFont="1" applyBorder="1" applyAlignment="1">
      <alignment horizontal="center" vertical="center" wrapText="1"/>
    </xf>
    <xf numFmtId="0" fontId="6" fillId="0" borderId="6" xfId="9" applyFont="1" applyBorder="1" applyAlignment="1">
      <alignment horizontal="center"/>
    </xf>
    <xf numFmtId="0" fontId="6" fillId="3" borderId="0" xfId="9" applyFont="1" applyFill="1" applyBorder="1" applyAlignment="1">
      <alignment horizontal="center" vertical="center" wrapText="1"/>
    </xf>
    <xf numFmtId="0" fontId="22" fillId="0" borderId="6" xfId="9" applyFont="1" applyFill="1" applyBorder="1" applyAlignment="1">
      <alignment horizontal="center" vertical="center" wrapText="1"/>
    </xf>
    <xf numFmtId="0" fontId="23" fillId="0" borderId="6" xfId="9" applyFont="1" applyFill="1" applyBorder="1" applyAlignment="1">
      <alignment horizontal="left" vertical="center" wrapText="1"/>
    </xf>
    <xf numFmtId="167" fontId="3" fillId="0" borderId="6" xfId="6" applyNumberFormat="1" applyFont="1" applyBorder="1" applyAlignment="1" applyProtection="1">
      <alignment horizontal="center" vertical="center" wrapText="1"/>
    </xf>
    <xf numFmtId="169" fontId="7" fillId="0" borderId="6" xfId="9" applyNumberFormat="1" applyFont="1" applyBorder="1" applyAlignment="1">
      <alignment horizontal="center" vertical="center" wrapText="1"/>
    </xf>
    <xf numFmtId="169" fontId="3" fillId="0" borderId="6" xfId="9" applyNumberFormat="1" applyFont="1" applyBorder="1" applyAlignment="1">
      <alignment horizontal="center" vertical="center" wrapText="1"/>
    </xf>
    <xf numFmtId="0" fontId="3" fillId="0" borderId="6" xfId="9" applyFont="1" applyBorder="1" applyAlignment="1">
      <alignment horizontal="center" vertical="center" wrapText="1"/>
    </xf>
    <xf numFmtId="0" fontId="3" fillId="2" borderId="6" xfId="9" applyFont="1" applyFill="1" applyBorder="1" applyAlignment="1">
      <alignment horizontal="center" vertical="center" wrapText="1"/>
    </xf>
    <xf numFmtId="0" fontId="3" fillId="0" borderId="0" xfId="9" applyFont="1" applyBorder="1" applyAlignment="1">
      <alignment horizontal="center"/>
    </xf>
    <xf numFmtId="0" fontId="3" fillId="0" borderId="0" xfId="9" applyFont="1" applyBorder="1" applyAlignment="1">
      <alignment horizontal="center" wrapText="1"/>
    </xf>
    <xf numFmtId="0" fontId="14" fillId="2" borderId="6" xfId="8" applyFont="1" applyFill="1" applyBorder="1" applyAlignment="1">
      <alignment horizontal="left" vertical="center" wrapText="1"/>
    </xf>
    <xf numFmtId="0" fontId="15" fillId="3" borderId="7" xfId="0" applyFont="1" applyFill="1" applyBorder="1" applyAlignment="1">
      <alignment horizontal="center"/>
    </xf>
    <xf numFmtId="0" fontId="0" fillId="2" borderId="6" xfId="0" applyFont="1" applyFill="1" applyBorder="1" applyAlignment="1">
      <alignment horizontal="center"/>
    </xf>
    <xf numFmtId="0" fontId="12" fillId="2" borderId="6" xfId="7" applyFont="1" applyFill="1" applyBorder="1" applyAlignment="1">
      <alignment horizontal="left" vertical="center"/>
    </xf>
    <xf numFmtId="0" fontId="12" fillId="3" borderId="6" xfId="7" applyFont="1" applyFill="1" applyBorder="1" applyAlignment="1">
      <alignment horizontal="center" vertical="center"/>
    </xf>
    <xf numFmtId="0" fontId="11" fillId="2" borderId="6" xfId="8" applyFont="1" applyFill="1" applyBorder="1" applyAlignment="1">
      <alignment horizontal="center" vertical="center"/>
    </xf>
    <xf numFmtId="0" fontId="13" fillId="2" borderId="6" xfId="8" applyFont="1" applyFill="1" applyBorder="1" applyAlignment="1">
      <alignment horizontal="center" vertical="center" wrapText="1"/>
    </xf>
    <xf numFmtId="0" fontId="0" fillId="4" borderId="0" xfId="0" applyFont="1" applyFill="1" applyBorder="1" applyAlignment="1">
      <alignment horizontal="center"/>
    </xf>
    <xf numFmtId="0" fontId="11" fillId="2" borderId="6" xfId="7" applyFont="1" applyFill="1" applyBorder="1" applyAlignment="1">
      <alignment horizontal="center" vertical="center"/>
    </xf>
    <xf numFmtId="0" fontId="14" fillId="2" borderId="10" xfId="8" applyFont="1" applyFill="1" applyBorder="1" applyAlignment="1">
      <alignment horizontal="left" vertical="center" wrapText="1"/>
    </xf>
    <xf numFmtId="0" fontId="15" fillId="3" borderId="6" xfId="0" applyFont="1" applyFill="1" applyBorder="1" applyAlignment="1">
      <alignment horizontal="center"/>
    </xf>
    <xf numFmtId="0" fontId="3" fillId="2" borderId="0" xfId="9" applyFont="1" applyFill="1" applyBorder="1" applyAlignment="1">
      <alignment horizontal="center" vertical="center" wrapText="1"/>
    </xf>
    <xf numFmtId="0" fontId="6" fillId="3" borderId="6" xfId="9" applyFont="1" applyFill="1" applyBorder="1" applyAlignment="1">
      <alignment horizontal="center" vertical="center" wrapText="1"/>
    </xf>
    <xf numFmtId="0" fontId="2" fillId="4" borderId="0" xfId="9" applyFont="1" applyFill="1" applyBorder="1" applyAlignment="1">
      <alignment horizontal="center" vertical="center"/>
    </xf>
    <xf numFmtId="0" fontId="1" fillId="0" borderId="6" xfId="9" applyFont="1" applyBorder="1" applyAlignment="1">
      <alignment horizontal="center" vertical="center" wrapText="1"/>
    </xf>
    <xf numFmtId="0" fontId="1" fillId="3" borderId="6" xfId="9" applyFont="1" applyFill="1" applyBorder="1" applyAlignment="1">
      <alignment horizontal="center" vertical="center" wrapText="1"/>
    </xf>
    <xf numFmtId="0" fontId="16" fillId="0" borderId="6" xfId="9" applyFont="1" applyBorder="1" applyAlignment="1">
      <alignment horizontal="left" vertical="center" wrapText="1"/>
    </xf>
    <xf numFmtId="0" fontId="0" fillId="2" borderId="10" xfId="8" applyFont="1" applyFill="1" applyBorder="1" applyAlignment="1">
      <alignment horizontal="left" vertical="center" wrapText="1"/>
    </xf>
    <xf numFmtId="0" fontId="18" fillId="2" borderId="6" xfId="8" applyFont="1" applyFill="1" applyBorder="1" applyAlignment="1">
      <alignment horizontal="center" vertical="center"/>
    </xf>
    <xf numFmtId="0" fontId="15" fillId="2" borderId="6" xfId="8" applyFont="1" applyFill="1" applyBorder="1" applyAlignment="1">
      <alignment horizontal="center" vertical="center" wrapText="1"/>
    </xf>
    <xf numFmtId="0" fontId="0" fillId="0" borderId="6" xfId="9" applyFont="1" applyBorder="1" applyAlignment="1">
      <alignment horizontal="center" vertical="center"/>
    </xf>
    <xf numFmtId="0" fontId="2" fillId="3" borderId="6" xfId="9" applyFont="1" applyFill="1" applyBorder="1" applyAlignment="1">
      <alignment horizontal="center" vertical="center" wrapText="1"/>
    </xf>
    <xf numFmtId="0" fontId="7" fillId="0" borderId="6" xfId="9" applyFont="1" applyBorder="1" applyAlignment="1">
      <alignment horizontal="left" vertical="center" wrapText="1"/>
    </xf>
    <xf numFmtId="0" fontId="2" fillId="2" borderId="0" xfId="9" applyFont="1" applyFill="1" applyBorder="1" applyAlignment="1">
      <alignment horizontal="center" vertical="center"/>
    </xf>
    <xf numFmtId="0" fontId="3" fillId="0" borderId="0" xfId="9" applyFont="1" applyBorder="1" applyAlignment="1">
      <alignment horizontal="center" vertical="center"/>
    </xf>
  </cellXfs>
  <cellStyles count="12">
    <cellStyle name="Hiperlink" xfId="4" builtinId="8"/>
    <cellStyle name="Moeda" xfId="2" builtinId="4"/>
    <cellStyle name="Moeda 3" xfId="5"/>
    <cellStyle name="Moeda 4" xfId="6"/>
    <cellStyle name="Normal" xfId="0" builtinId="0"/>
    <cellStyle name="Normal 2" xfId="7"/>
    <cellStyle name="Normal 2 2" xfId="8"/>
    <cellStyle name="Normal 4" xfId="9"/>
    <cellStyle name="Porcentagem" xfId="3" builtinId="5"/>
    <cellStyle name="Porcentagem 2" xfId="10"/>
    <cellStyle name="Porcentagem 4" xfId="11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5E0B4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8"/>
  <sheetViews>
    <sheetView tabSelected="1" topLeftCell="A10" zoomScaleNormal="100" workbookViewId="0">
      <selection activeCell="G28" sqref="G28"/>
    </sheetView>
  </sheetViews>
  <sheetFormatPr defaultColWidth="9.140625" defaultRowHeight="15.75" x14ac:dyDescent="0.25"/>
  <cols>
    <col min="1" max="1" width="3.140625" style="1" customWidth="1"/>
    <col min="2" max="2" width="7.42578125" style="2" customWidth="1"/>
    <col min="3" max="3" width="11.85546875" style="2" customWidth="1"/>
    <col min="4" max="4" width="46.28515625" style="2" customWidth="1"/>
    <col min="5" max="6" width="14.5703125" style="2" customWidth="1"/>
    <col min="7" max="7" width="16.5703125" style="1" customWidth="1"/>
    <col min="8" max="8" width="10.28515625" style="1" customWidth="1"/>
    <col min="9" max="9" width="11.28515625" style="1" customWidth="1"/>
    <col min="10" max="1024" width="9.140625" style="1"/>
  </cols>
  <sheetData>
    <row r="1" spans="2:9" x14ac:dyDescent="0.25">
      <c r="B1" s="160" t="s">
        <v>0</v>
      </c>
      <c r="C1" s="160"/>
      <c r="D1" s="160"/>
      <c r="E1" s="160"/>
      <c r="F1" s="160"/>
      <c r="G1" s="160"/>
    </row>
    <row r="2" spans="2:9" x14ac:dyDescent="0.25">
      <c r="B2" s="160" t="s">
        <v>1</v>
      </c>
      <c r="C2" s="160"/>
      <c r="D2" s="160"/>
      <c r="E2" s="160"/>
      <c r="F2" s="160"/>
      <c r="G2" s="160"/>
    </row>
    <row r="3" spans="2:9" x14ac:dyDescent="0.25">
      <c r="B3" s="161" t="s">
        <v>2</v>
      </c>
      <c r="C3" s="161"/>
      <c r="D3" s="161"/>
      <c r="E3" s="161"/>
      <c r="F3" s="161"/>
      <c r="G3" s="161"/>
    </row>
    <row r="4" spans="2:9" x14ac:dyDescent="0.25">
      <c r="B4" s="4"/>
      <c r="C4" s="4"/>
      <c r="D4" s="4"/>
      <c r="E4" s="4"/>
      <c r="F4" s="4"/>
    </row>
    <row r="5" spans="2:9" ht="24.75" customHeight="1" x14ac:dyDescent="0.25">
      <c r="B5" s="162" t="s">
        <v>3</v>
      </c>
      <c r="C5" s="162"/>
      <c r="D5" s="162"/>
      <c r="E5" s="162"/>
      <c r="F5" s="162"/>
      <c r="G5" s="162"/>
    </row>
    <row r="6" spans="2:9" x14ac:dyDescent="0.25">
      <c r="B6" s="4"/>
      <c r="C6" s="4"/>
      <c r="D6" s="4"/>
      <c r="E6" s="4"/>
      <c r="F6" s="4"/>
    </row>
    <row r="7" spans="2:9" ht="25.5" x14ac:dyDescent="0.25">
      <c r="B7" s="5" t="s">
        <v>4</v>
      </c>
      <c r="C7" s="5" t="s">
        <v>5</v>
      </c>
      <c r="D7" s="5" t="s">
        <v>6</v>
      </c>
      <c r="E7" s="6" t="s">
        <v>7</v>
      </c>
      <c r="F7" s="5" t="s">
        <v>8</v>
      </c>
      <c r="G7" s="7" t="s">
        <v>9</v>
      </c>
    </row>
    <row r="8" spans="2:9" s="8" customFormat="1" x14ac:dyDescent="0.25">
      <c r="B8" s="9">
        <v>1</v>
      </c>
      <c r="C8" s="157" t="s">
        <v>10</v>
      </c>
      <c r="D8" s="10" t="s">
        <v>11</v>
      </c>
      <c r="E8" s="11">
        <f>'Manutenção Cascavel'!D153</f>
        <v>4860.13</v>
      </c>
      <c r="F8" s="9">
        <v>1</v>
      </c>
      <c r="G8" s="11">
        <f t="shared" ref="G8:G15" si="0">E8*F8</f>
        <v>4860.13</v>
      </c>
    </row>
    <row r="9" spans="2:9" s="8" customFormat="1" x14ac:dyDescent="0.25">
      <c r="B9" s="12">
        <v>2</v>
      </c>
      <c r="C9" s="157"/>
      <c r="D9" s="13" t="s">
        <v>12</v>
      </c>
      <c r="E9" s="14">
        <f>'Eletricista Cascavel'!D153</f>
        <v>6039.07</v>
      </c>
      <c r="F9" s="15">
        <v>1</v>
      </c>
      <c r="G9" s="14">
        <f t="shared" si="0"/>
        <v>6039.07</v>
      </c>
    </row>
    <row r="10" spans="2:9" s="8" customFormat="1" x14ac:dyDescent="0.25">
      <c r="B10" s="9">
        <v>3</v>
      </c>
      <c r="C10" s="157" t="s">
        <v>13</v>
      </c>
      <c r="D10" s="10" t="s">
        <v>11</v>
      </c>
      <c r="E10" s="11">
        <f>'Manutenção Curitiba'!D153</f>
        <v>5021.0600000000004</v>
      </c>
      <c r="F10" s="9">
        <v>4</v>
      </c>
      <c r="G10" s="11">
        <f t="shared" si="0"/>
        <v>20084.240000000002</v>
      </c>
    </row>
    <row r="11" spans="2:9" s="8" customFormat="1" x14ac:dyDescent="0.25">
      <c r="B11" s="12">
        <v>4</v>
      </c>
      <c r="C11" s="157"/>
      <c r="D11" s="16" t="s">
        <v>12</v>
      </c>
      <c r="E11" s="17">
        <f>'Eletricista Curitiba'!D154</f>
        <v>6622.92</v>
      </c>
      <c r="F11" s="18">
        <v>3</v>
      </c>
      <c r="G11" s="17">
        <f t="shared" si="0"/>
        <v>19868.760000000002</v>
      </c>
    </row>
    <row r="12" spans="2:9" s="8" customFormat="1" x14ac:dyDescent="0.25">
      <c r="B12" s="9">
        <v>5</v>
      </c>
      <c r="C12" s="157" t="s">
        <v>14</v>
      </c>
      <c r="D12" s="10" t="s">
        <v>11</v>
      </c>
      <c r="E12" s="11">
        <f>'Manutenção Londrina'!D153</f>
        <v>4885.79</v>
      </c>
      <c r="F12" s="9">
        <v>1</v>
      </c>
      <c r="G12" s="11">
        <f t="shared" si="0"/>
        <v>4885.79</v>
      </c>
    </row>
    <row r="13" spans="2:9" s="8" customFormat="1" x14ac:dyDescent="0.25">
      <c r="B13" s="12">
        <v>6</v>
      </c>
      <c r="C13" s="157"/>
      <c r="D13" s="13" t="s">
        <v>12</v>
      </c>
      <c r="E13" s="14">
        <f>'Eletricista Londrina'!D154</f>
        <v>6465.56</v>
      </c>
      <c r="F13" s="15">
        <v>1</v>
      </c>
      <c r="G13" s="14">
        <f t="shared" si="0"/>
        <v>6465.56</v>
      </c>
    </row>
    <row r="14" spans="2:9" s="8" customFormat="1" x14ac:dyDescent="0.25">
      <c r="B14" s="9">
        <v>7</v>
      </c>
      <c r="C14" s="157" t="s">
        <v>15</v>
      </c>
      <c r="D14" s="10" t="s">
        <v>11</v>
      </c>
      <c r="E14" s="11">
        <f>'Manutenção Maringá'!D153</f>
        <v>4833.45</v>
      </c>
      <c r="F14" s="9">
        <v>1</v>
      </c>
      <c r="G14" s="11">
        <f t="shared" si="0"/>
        <v>4833.45</v>
      </c>
    </row>
    <row r="15" spans="2:9" s="8" customFormat="1" x14ac:dyDescent="0.25">
      <c r="B15" s="12">
        <v>8</v>
      </c>
      <c r="C15" s="157"/>
      <c r="D15" s="13" t="s">
        <v>12</v>
      </c>
      <c r="E15" s="14">
        <f>'Eletricista Maringá'!D154</f>
        <v>6370.14</v>
      </c>
      <c r="F15" s="15">
        <v>1</v>
      </c>
      <c r="G15" s="14">
        <f t="shared" si="0"/>
        <v>6370.14</v>
      </c>
    </row>
    <row r="16" spans="2:9" x14ac:dyDescent="0.25">
      <c r="B16" s="158" t="s">
        <v>16</v>
      </c>
      <c r="C16" s="158"/>
      <c r="D16" s="158"/>
      <c r="E16" s="158"/>
      <c r="F16" s="19">
        <f>SUM(F8:F15)</f>
        <v>13</v>
      </c>
      <c r="G16" s="20">
        <f>SUM(G8:G15)</f>
        <v>73407.14</v>
      </c>
      <c r="I16" s="21"/>
    </row>
    <row r="17" spans="2:9" s="22" customFormat="1" x14ac:dyDescent="0.25">
      <c r="B17" s="23"/>
      <c r="C17" s="23"/>
      <c r="D17" s="23"/>
      <c r="E17" s="23"/>
      <c r="F17" s="23"/>
      <c r="G17" s="24"/>
    </row>
    <row r="18" spans="2:9" ht="26.25" customHeight="1" x14ac:dyDescent="0.25">
      <c r="B18" s="159" t="s">
        <v>17</v>
      </c>
      <c r="C18" s="159"/>
      <c r="D18" s="159"/>
      <c r="E18" s="159"/>
      <c r="F18" s="159"/>
      <c r="G18" s="7" t="s">
        <v>9</v>
      </c>
    </row>
    <row r="19" spans="2:9" x14ac:dyDescent="0.25">
      <c r="B19" s="155" t="s">
        <v>16</v>
      </c>
      <c r="C19" s="155"/>
      <c r="D19" s="155"/>
      <c r="E19" s="155"/>
      <c r="F19" s="155"/>
      <c r="G19" s="25">
        <f>G16</f>
        <v>73407.14</v>
      </c>
    </row>
    <row r="20" spans="2:9" ht="15" customHeight="1" x14ac:dyDescent="0.25">
      <c r="B20" s="156" t="s">
        <v>18</v>
      </c>
      <c r="C20" s="156"/>
      <c r="D20" s="156"/>
      <c r="E20" s="156"/>
      <c r="F20" s="156"/>
      <c r="G20" s="27">
        <f>Deslocamento!G20+Deslocamento!G36+Deslocamento!G52+Deslocamento!G68</f>
        <v>8163.3799999999992</v>
      </c>
      <c r="H20" s="21"/>
    </row>
    <row r="21" spans="2:9" ht="15" customHeight="1" x14ac:dyDescent="0.25">
      <c r="B21" s="156" t="s">
        <v>19</v>
      </c>
      <c r="C21" s="156"/>
      <c r="D21" s="156"/>
      <c r="E21" s="156"/>
      <c r="F21" s="156"/>
      <c r="G21" s="27">
        <f>Equipamentos!I53</f>
        <v>1625.5</v>
      </c>
    </row>
    <row r="22" spans="2:9" ht="15" customHeight="1" x14ac:dyDescent="0.25">
      <c r="B22" s="156" t="s">
        <v>20</v>
      </c>
      <c r="C22" s="156"/>
      <c r="D22" s="156"/>
      <c r="E22" s="156"/>
      <c r="F22" s="156"/>
      <c r="G22" s="27">
        <f>EPIs!H41</f>
        <v>1097.83</v>
      </c>
    </row>
    <row r="23" spans="2:9" ht="15" customHeight="1" x14ac:dyDescent="0.25">
      <c r="B23" s="156" t="s">
        <v>21</v>
      </c>
      <c r="C23" s="156"/>
      <c r="D23" s="156"/>
      <c r="E23" s="156"/>
      <c r="F23" s="156"/>
      <c r="G23" s="27">
        <f>'EPIs Covid-19'!H21</f>
        <v>91</v>
      </c>
    </row>
    <row r="24" spans="2:9" x14ac:dyDescent="0.25">
      <c r="B24" s="154" t="s">
        <v>22</v>
      </c>
      <c r="C24" s="154"/>
      <c r="D24" s="154"/>
      <c r="E24" s="154"/>
      <c r="F24" s="154"/>
      <c r="G24" s="28">
        <f>SUM(G19:G23)</f>
        <v>84384.85</v>
      </c>
      <c r="I24" s="21"/>
    </row>
    <row r="25" spans="2:9" ht="16.5" thickBot="1" x14ac:dyDescent="0.3">
      <c r="I25" s="21"/>
    </row>
    <row r="26" spans="2:9" ht="16.5" thickBot="1" x14ac:dyDescent="0.3">
      <c r="B26" s="154" t="s">
        <v>268</v>
      </c>
      <c r="C26" s="154"/>
      <c r="D26" s="154"/>
      <c r="E26" s="154"/>
      <c r="F26" s="154"/>
      <c r="G26" s="28">
        <f>G24*12</f>
        <v>1012618.2000000001</v>
      </c>
    </row>
    <row r="27" spans="2:9" x14ac:dyDescent="0.25">
      <c r="G27" s="29"/>
    </row>
    <row r="28" spans="2:9" x14ac:dyDescent="0.25">
      <c r="G28" s="153"/>
    </row>
  </sheetData>
  <mergeCells count="17">
    <mergeCell ref="B1:G1"/>
    <mergeCell ref="B2:G2"/>
    <mergeCell ref="B3:G3"/>
    <mergeCell ref="B5:G5"/>
    <mergeCell ref="C8:C9"/>
    <mergeCell ref="C10:C11"/>
    <mergeCell ref="C12:C13"/>
    <mergeCell ref="C14:C15"/>
    <mergeCell ref="B16:E16"/>
    <mergeCell ref="B18:F18"/>
    <mergeCell ref="B26:F26"/>
    <mergeCell ref="B24:F24"/>
    <mergeCell ref="B19:F19"/>
    <mergeCell ref="B20:F20"/>
    <mergeCell ref="B21:F21"/>
    <mergeCell ref="B22:F22"/>
    <mergeCell ref="B23:F23"/>
  </mergeCells>
  <pageMargins left="0.51180555555555596" right="0.51180555555555596" top="0.78749999999999998" bottom="0.78749999999999998" header="0.511811023622047" footer="0.511811023622047"/>
  <pageSetup paperSize="9" scale="84" fitToHeight="0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68"/>
  <sheetViews>
    <sheetView topLeftCell="A25" zoomScaleNormal="100" workbookViewId="0">
      <selection activeCell="I48" sqref="I48"/>
    </sheetView>
  </sheetViews>
  <sheetFormatPr defaultColWidth="9.140625" defaultRowHeight="15" x14ac:dyDescent="0.25"/>
  <cols>
    <col min="1" max="1" width="3.28515625" style="1" customWidth="1"/>
    <col min="2" max="7" width="20" style="1" customWidth="1"/>
    <col min="8" max="1024" width="9.140625" style="1"/>
  </cols>
  <sheetData>
    <row r="1" spans="1:7" ht="15.75" x14ac:dyDescent="0.25">
      <c r="A1" s="160" t="s">
        <v>0</v>
      </c>
      <c r="B1" s="160"/>
      <c r="C1" s="160"/>
      <c r="D1" s="160"/>
      <c r="E1" s="160"/>
      <c r="F1" s="160"/>
      <c r="G1" s="160"/>
    </row>
    <row r="2" spans="1:7" ht="15.75" x14ac:dyDescent="0.25">
      <c r="A2" s="160" t="s">
        <v>1</v>
      </c>
      <c r="B2" s="160"/>
      <c r="C2" s="160"/>
      <c r="D2" s="160"/>
      <c r="E2" s="160"/>
      <c r="F2" s="160"/>
      <c r="G2" s="160"/>
    </row>
    <row r="3" spans="1:7" ht="15.75" x14ac:dyDescent="0.25">
      <c r="A3" s="161" t="s">
        <v>2</v>
      </c>
      <c r="B3" s="161"/>
      <c r="C3" s="161"/>
      <c r="D3" s="161"/>
      <c r="E3" s="161"/>
      <c r="F3" s="161"/>
      <c r="G3" s="161"/>
    </row>
    <row r="4" spans="1:7" ht="15.75" x14ac:dyDescent="0.25">
      <c r="A4" s="4"/>
      <c r="B4" s="4"/>
      <c r="C4" s="4"/>
      <c r="D4" s="4"/>
    </row>
    <row r="5" spans="1:7" ht="15.75" x14ac:dyDescent="0.25">
      <c r="A5" s="3"/>
      <c r="B5" s="190" t="s">
        <v>3</v>
      </c>
      <c r="C5" s="190"/>
      <c r="D5" s="190"/>
      <c r="E5" s="190"/>
      <c r="F5" s="190"/>
      <c r="G5" s="190"/>
    </row>
    <row r="7" spans="1:7" x14ac:dyDescent="0.25">
      <c r="B7" s="186" t="s">
        <v>150</v>
      </c>
      <c r="C7" s="186"/>
      <c r="D7" s="186"/>
      <c r="E7" s="186"/>
      <c r="F7" s="186"/>
      <c r="G7" s="186"/>
    </row>
    <row r="8" spans="1:7" ht="12.95" customHeight="1" x14ac:dyDescent="0.25">
      <c r="B8" s="79"/>
      <c r="C8" s="79"/>
      <c r="D8" s="79"/>
      <c r="E8" s="79"/>
      <c r="F8" s="79"/>
      <c r="G8" s="79"/>
    </row>
    <row r="9" spans="1:7" x14ac:dyDescent="0.25">
      <c r="B9" s="187" t="s">
        <v>151</v>
      </c>
      <c r="C9" s="187"/>
      <c r="D9" s="187"/>
      <c r="E9" s="80" t="s">
        <v>152</v>
      </c>
      <c r="F9" s="80" t="s">
        <v>153</v>
      </c>
      <c r="G9" s="80" t="s">
        <v>154</v>
      </c>
    </row>
    <row r="10" spans="1:7" x14ac:dyDescent="0.25">
      <c r="B10" s="182" t="s">
        <v>155</v>
      </c>
      <c r="C10" s="182"/>
      <c r="D10" s="182"/>
      <c r="E10" s="81">
        <v>12</v>
      </c>
      <c r="F10" s="82">
        <v>125.91</v>
      </c>
      <c r="G10" s="82">
        <f>E10*F10</f>
        <v>1510.92</v>
      </c>
    </row>
    <row r="11" spans="1:7" x14ac:dyDescent="0.25">
      <c r="B11" s="182" t="s">
        <v>156</v>
      </c>
      <c r="C11" s="182"/>
      <c r="D11" s="182"/>
      <c r="E11" s="83">
        <v>66</v>
      </c>
      <c r="F11" s="82">
        <v>143.08000000000001</v>
      </c>
      <c r="G11" s="82">
        <f>E11*F11</f>
        <v>9443.2800000000007</v>
      </c>
    </row>
    <row r="12" spans="1:7" x14ac:dyDescent="0.25">
      <c r="B12" s="182" t="s">
        <v>157</v>
      </c>
      <c r="C12" s="182"/>
      <c r="D12" s="182"/>
      <c r="E12" s="83">
        <v>110</v>
      </c>
      <c r="F12" s="82">
        <f>37.29*2</f>
        <v>74.58</v>
      </c>
      <c r="G12" s="82">
        <f>E12*F12</f>
        <v>8203.7999999999993</v>
      </c>
    </row>
    <row r="13" spans="1:7" x14ac:dyDescent="0.25">
      <c r="B13" s="183" t="s">
        <v>158</v>
      </c>
      <c r="C13" s="183"/>
      <c r="D13" s="183"/>
      <c r="E13" s="183"/>
      <c r="F13" s="183"/>
      <c r="G13" s="84">
        <f>SUM(G10:G12)</f>
        <v>19158</v>
      </c>
    </row>
    <row r="14" spans="1:7" ht="15" customHeight="1" x14ac:dyDescent="0.25">
      <c r="B14" s="184" t="s">
        <v>159</v>
      </c>
      <c r="C14" s="184"/>
      <c r="D14" s="184"/>
      <c r="E14" s="185" t="s">
        <v>160</v>
      </c>
      <c r="F14" s="185"/>
      <c r="G14" s="185"/>
    </row>
    <row r="15" spans="1:7" x14ac:dyDescent="0.25">
      <c r="B15" s="85" t="s">
        <v>161</v>
      </c>
      <c r="C15" s="86">
        <v>0.06</v>
      </c>
      <c r="D15" s="87">
        <f>G13*C15</f>
        <v>1149.48</v>
      </c>
      <c r="E15" s="88" t="s">
        <v>162</v>
      </c>
      <c r="F15" s="89">
        <v>0.05</v>
      </c>
      <c r="G15" s="90">
        <f>D18*F15</f>
        <v>1238.8664258685931</v>
      </c>
    </row>
    <row r="16" spans="1:7" x14ac:dyDescent="0.25">
      <c r="B16" s="85" t="s">
        <v>118</v>
      </c>
      <c r="C16" s="86">
        <v>6.7900000000000002E-2</v>
      </c>
      <c r="D16" s="87">
        <f>G13*C16</f>
        <v>1300.8282000000002</v>
      </c>
      <c r="E16" s="88" t="s">
        <v>163</v>
      </c>
      <c r="F16" s="89">
        <v>6.4999999999999997E-3</v>
      </c>
      <c r="G16" s="90">
        <f>D18*F16</f>
        <v>161.0526353629171</v>
      </c>
    </row>
    <row r="17" spans="2:7" x14ac:dyDescent="0.25">
      <c r="B17" s="91" t="s">
        <v>164</v>
      </c>
      <c r="C17" s="92">
        <f>SUM(C15:C16)</f>
        <v>0.12790000000000001</v>
      </c>
      <c r="D17" s="93">
        <f>SUM(D15:D16)</f>
        <v>2450.3082000000004</v>
      </c>
      <c r="E17" s="88" t="s">
        <v>165</v>
      </c>
      <c r="F17" s="89">
        <v>0.03</v>
      </c>
      <c r="G17" s="90">
        <f>D18*F17</f>
        <v>743.31985552115577</v>
      </c>
    </row>
    <row r="18" spans="2:7" ht="15" customHeight="1" x14ac:dyDescent="0.25">
      <c r="B18" s="188" t="s">
        <v>166</v>
      </c>
      <c r="C18" s="188"/>
      <c r="D18" s="94">
        <f>(D17+G13)/(1-C17)</f>
        <v>24777.328517371861</v>
      </c>
      <c r="E18" s="95" t="s">
        <v>167</v>
      </c>
      <c r="F18" s="96">
        <f>SUM(F15:F17)</f>
        <v>8.6499999999999994E-2</v>
      </c>
      <c r="G18" s="97">
        <f>SUM(G15:G17)</f>
        <v>2143.2389167526658</v>
      </c>
    </row>
    <row r="19" spans="2:7" x14ac:dyDescent="0.25">
      <c r="B19" s="189" t="s">
        <v>168</v>
      </c>
      <c r="C19" s="189"/>
      <c r="D19" s="189"/>
      <c r="E19" s="189"/>
      <c r="F19" s="189"/>
      <c r="G19" s="98">
        <f>SUM(G13,D17,G18)</f>
        <v>23751.547116752667</v>
      </c>
    </row>
    <row r="20" spans="2:7" x14ac:dyDescent="0.25">
      <c r="B20" s="181" t="s">
        <v>169</v>
      </c>
      <c r="C20" s="181"/>
      <c r="D20" s="181"/>
      <c r="E20" s="181"/>
      <c r="F20" s="181"/>
      <c r="G20" s="99">
        <f>TRUNC(G19/12,2)</f>
        <v>1979.29</v>
      </c>
    </row>
    <row r="21" spans="2:7" ht="12.95" customHeight="1" x14ac:dyDescent="0.25"/>
    <row r="22" spans="2:7" ht="12.95" customHeight="1" x14ac:dyDescent="0.25"/>
    <row r="23" spans="2:7" x14ac:dyDescent="0.25">
      <c r="B23" s="186" t="s">
        <v>170</v>
      </c>
      <c r="C23" s="186"/>
      <c r="D23" s="186"/>
      <c r="E23" s="186"/>
      <c r="F23" s="186"/>
      <c r="G23" s="186"/>
    </row>
    <row r="24" spans="2:7" ht="12.95" customHeight="1" x14ac:dyDescent="0.25">
      <c r="B24" s="79"/>
      <c r="C24" s="79"/>
      <c r="D24" s="79"/>
      <c r="E24" s="79"/>
      <c r="F24" s="79"/>
      <c r="G24" s="79"/>
    </row>
    <row r="25" spans="2:7" x14ac:dyDescent="0.25">
      <c r="B25" s="187" t="s">
        <v>151</v>
      </c>
      <c r="C25" s="187"/>
      <c r="D25" s="187"/>
      <c r="E25" s="80" t="s">
        <v>152</v>
      </c>
      <c r="F25" s="80" t="s">
        <v>153</v>
      </c>
      <c r="G25" s="80" t="s">
        <v>154</v>
      </c>
    </row>
    <row r="26" spans="2:7" x14ac:dyDescent="0.25">
      <c r="B26" s="182" t="s">
        <v>155</v>
      </c>
      <c r="C26" s="182"/>
      <c r="D26" s="182"/>
      <c r="E26" s="81">
        <v>0</v>
      </c>
      <c r="F26" s="82">
        <v>0</v>
      </c>
      <c r="G26" s="82">
        <f>E26*F26</f>
        <v>0</v>
      </c>
    </row>
    <row r="27" spans="2:7" x14ac:dyDescent="0.25">
      <c r="B27" s="182" t="s">
        <v>156</v>
      </c>
      <c r="C27" s="182"/>
      <c r="D27" s="182"/>
      <c r="E27" s="81">
        <v>102</v>
      </c>
      <c r="F27" s="82">
        <v>175.04</v>
      </c>
      <c r="G27" s="82">
        <f>E27*F27</f>
        <v>17854.079999999998</v>
      </c>
    </row>
    <row r="28" spans="2:7" x14ac:dyDescent="0.25">
      <c r="B28" s="182" t="s">
        <v>157</v>
      </c>
      <c r="C28" s="182"/>
      <c r="D28" s="182"/>
      <c r="E28" s="81">
        <v>146</v>
      </c>
      <c r="F28" s="82">
        <f>37.29*2</f>
        <v>74.58</v>
      </c>
      <c r="G28" s="82">
        <f>E28*F28</f>
        <v>10888.68</v>
      </c>
    </row>
    <row r="29" spans="2:7" x14ac:dyDescent="0.25">
      <c r="B29" s="183" t="s">
        <v>171</v>
      </c>
      <c r="C29" s="183"/>
      <c r="D29" s="183"/>
      <c r="E29" s="183"/>
      <c r="F29" s="183"/>
      <c r="G29" s="84">
        <f>SUM(G26:G28)</f>
        <v>28742.76</v>
      </c>
    </row>
    <row r="30" spans="2:7" ht="15" customHeight="1" x14ac:dyDescent="0.25">
      <c r="B30" s="184" t="s">
        <v>159</v>
      </c>
      <c r="C30" s="184"/>
      <c r="D30" s="184"/>
      <c r="E30" s="185" t="s">
        <v>160</v>
      </c>
      <c r="F30" s="185"/>
      <c r="G30" s="185"/>
    </row>
    <row r="31" spans="2:7" x14ac:dyDescent="0.25">
      <c r="B31" s="85" t="s">
        <v>161</v>
      </c>
      <c r="C31" s="86">
        <v>0.06</v>
      </c>
      <c r="D31" s="87">
        <f>G29*C31</f>
        <v>1724.5655999999999</v>
      </c>
      <c r="E31" s="88" t="s">
        <v>162</v>
      </c>
      <c r="F31" s="89">
        <v>0.05</v>
      </c>
      <c r="G31" s="90">
        <f>D34*F31</f>
        <v>1858.6721135190919</v>
      </c>
    </row>
    <row r="32" spans="2:7" x14ac:dyDescent="0.25">
      <c r="B32" s="85" t="s">
        <v>118</v>
      </c>
      <c r="C32" s="86">
        <v>6.7900000000000002E-2</v>
      </c>
      <c r="D32" s="87">
        <f>G29*C32</f>
        <v>1951.6334039999999</v>
      </c>
      <c r="E32" s="88" t="s">
        <v>163</v>
      </c>
      <c r="F32" s="89">
        <v>6.4999999999999997E-3</v>
      </c>
      <c r="G32" s="90">
        <f>D34*F32</f>
        <v>241.6273747574819</v>
      </c>
    </row>
    <row r="33" spans="2:7" x14ac:dyDescent="0.25">
      <c r="B33" s="91" t="s">
        <v>164</v>
      </c>
      <c r="C33" s="92">
        <f>SUM(C31:C32)</f>
        <v>0.12790000000000001</v>
      </c>
      <c r="D33" s="93">
        <f>SUM(D31:D32)</f>
        <v>3676.1990040000001</v>
      </c>
      <c r="E33" s="88" t="s">
        <v>165</v>
      </c>
      <c r="F33" s="89">
        <v>0.03</v>
      </c>
      <c r="G33" s="90">
        <f>D34*F33</f>
        <v>1115.2032681114549</v>
      </c>
    </row>
    <row r="34" spans="2:7" ht="15" customHeight="1" x14ac:dyDescent="0.25">
      <c r="B34" s="188" t="s">
        <v>166</v>
      </c>
      <c r="C34" s="188"/>
      <c r="D34" s="94">
        <f>(D33+G29)/(1-C33)</f>
        <v>37173.442270381835</v>
      </c>
      <c r="E34" s="95" t="s">
        <v>167</v>
      </c>
      <c r="F34" s="96">
        <f>SUM(F31:F33)</f>
        <v>8.6499999999999994E-2</v>
      </c>
      <c r="G34" s="97">
        <f>SUM(G31:G33)</f>
        <v>3215.5027563880285</v>
      </c>
    </row>
    <row r="35" spans="2:7" x14ac:dyDescent="0.25">
      <c r="B35" s="189" t="s">
        <v>172</v>
      </c>
      <c r="C35" s="189"/>
      <c r="D35" s="189"/>
      <c r="E35" s="189"/>
      <c r="F35" s="189"/>
      <c r="G35" s="98">
        <f>SUM(G29,D33,G34)</f>
        <v>35634.461760388025</v>
      </c>
    </row>
    <row r="36" spans="2:7" x14ac:dyDescent="0.25">
      <c r="B36" s="181" t="s">
        <v>173</v>
      </c>
      <c r="C36" s="181"/>
      <c r="D36" s="181"/>
      <c r="E36" s="181"/>
      <c r="F36" s="181"/>
      <c r="G36" s="99">
        <f>TRUNC(G35/12,2)</f>
        <v>2969.53</v>
      </c>
    </row>
    <row r="37" spans="2:7" ht="12.95" customHeight="1" x14ac:dyDescent="0.25"/>
    <row r="38" spans="2:7" ht="12.95" customHeight="1" x14ac:dyDescent="0.25"/>
    <row r="39" spans="2:7" x14ac:dyDescent="0.25">
      <c r="B39" s="186" t="s">
        <v>174</v>
      </c>
      <c r="C39" s="186"/>
      <c r="D39" s="186"/>
      <c r="E39" s="186"/>
      <c r="F39" s="186"/>
      <c r="G39" s="186"/>
    </row>
    <row r="40" spans="2:7" ht="12.95" customHeight="1" x14ac:dyDescent="0.25">
      <c r="B40" s="79"/>
      <c r="C40" s="79"/>
      <c r="D40" s="79"/>
      <c r="E40" s="79"/>
      <c r="F40" s="79"/>
      <c r="G40" s="79"/>
    </row>
    <row r="41" spans="2:7" x14ac:dyDescent="0.25">
      <c r="B41" s="187" t="s">
        <v>151</v>
      </c>
      <c r="C41" s="187"/>
      <c r="D41" s="187"/>
      <c r="E41" s="80" t="s">
        <v>152</v>
      </c>
      <c r="F41" s="80" t="s">
        <v>153</v>
      </c>
      <c r="G41" s="80" t="s">
        <v>154</v>
      </c>
    </row>
    <row r="42" spans="2:7" x14ac:dyDescent="0.25">
      <c r="B42" s="182" t="s">
        <v>155</v>
      </c>
      <c r="C42" s="182"/>
      <c r="D42" s="182"/>
      <c r="E42" s="81">
        <v>0</v>
      </c>
      <c r="F42" s="82">
        <v>0</v>
      </c>
      <c r="G42" s="82">
        <f>E42*F42</f>
        <v>0</v>
      </c>
    </row>
    <row r="43" spans="2:7" x14ac:dyDescent="0.25">
      <c r="B43" s="182" t="s">
        <v>156</v>
      </c>
      <c r="C43" s="182"/>
      <c r="D43" s="182"/>
      <c r="E43" s="81">
        <v>70</v>
      </c>
      <c r="F43" s="82">
        <v>131.9</v>
      </c>
      <c r="G43" s="82">
        <f>E43*F43</f>
        <v>9233</v>
      </c>
    </row>
    <row r="44" spans="2:7" x14ac:dyDescent="0.25">
      <c r="B44" s="182" t="s">
        <v>157</v>
      </c>
      <c r="C44" s="182"/>
      <c r="D44" s="182"/>
      <c r="E44" s="81">
        <v>118</v>
      </c>
      <c r="F44" s="82">
        <f>37.29*2</f>
        <v>74.58</v>
      </c>
      <c r="G44" s="82">
        <f>E44*F44</f>
        <v>8800.44</v>
      </c>
    </row>
    <row r="45" spans="2:7" x14ac:dyDescent="0.25">
      <c r="B45" s="183" t="s">
        <v>175</v>
      </c>
      <c r="C45" s="183"/>
      <c r="D45" s="183"/>
      <c r="E45" s="183"/>
      <c r="F45" s="183"/>
      <c r="G45" s="84">
        <f>SUM(G42:G44)</f>
        <v>18033.440000000002</v>
      </c>
    </row>
    <row r="46" spans="2:7" ht="15" customHeight="1" x14ac:dyDescent="0.25">
      <c r="B46" s="184" t="s">
        <v>159</v>
      </c>
      <c r="C46" s="184"/>
      <c r="D46" s="184"/>
      <c r="E46" s="185" t="s">
        <v>160</v>
      </c>
      <c r="F46" s="185"/>
      <c r="G46" s="185"/>
    </row>
    <row r="47" spans="2:7" x14ac:dyDescent="0.25">
      <c r="B47" s="85" t="s">
        <v>161</v>
      </c>
      <c r="C47" s="86">
        <v>0.06</v>
      </c>
      <c r="D47" s="87">
        <f>G45*C47</f>
        <v>1082.0064000000002</v>
      </c>
      <c r="E47" s="88" t="s">
        <v>162</v>
      </c>
      <c r="F47" s="89">
        <v>0.05</v>
      </c>
      <c r="G47" s="90">
        <f>D50*F47</f>
        <v>1166.1459107900473</v>
      </c>
    </row>
    <row r="48" spans="2:7" x14ac:dyDescent="0.25">
      <c r="B48" s="85" t="s">
        <v>118</v>
      </c>
      <c r="C48" s="86">
        <v>6.7900000000000002E-2</v>
      </c>
      <c r="D48" s="87">
        <f>G45*C48</f>
        <v>1224.4705760000002</v>
      </c>
      <c r="E48" s="88" t="s">
        <v>163</v>
      </c>
      <c r="F48" s="89">
        <v>6.4999999999999997E-3</v>
      </c>
      <c r="G48" s="90">
        <f>D50*F48</f>
        <v>151.59896840270613</v>
      </c>
    </row>
    <row r="49" spans="2:7" x14ac:dyDescent="0.25">
      <c r="B49" s="91" t="s">
        <v>164</v>
      </c>
      <c r="C49" s="92">
        <f>SUM(C47:C48)</f>
        <v>0.12790000000000001</v>
      </c>
      <c r="D49" s="93">
        <f>SUM(D47:D48)</f>
        <v>2306.4769760000004</v>
      </c>
      <c r="E49" s="88" t="s">
        <v>165</v>
      </c>
      <c r="F49" s="89">
        <v>0.03</v>
      </c>
      <c r="G49" s="90">
        <f>D50*F49</f>
        <v>699.68754647402841</v>
      </c>
    </row>
    <row r="50" spans="2:7" ht="15" customHeight="1" x14ac:dyDescent="0.25">
      <c r="B50" s="179" t="s">
        <v>166</v>
      </c>
      <c r="C50" s="179"/>
      <c r="D50" s="82">
        <f>(D49+G45)/(1-C49)</f>
        <v>23322.918215800946</v>
      </c>
      <c r="E50" s="100" t="s">
        <v>167</v>
      </c>
      <c r="F50" s="101">
        <f>SUM(F47:F49)</f>
        <v>8.6499999999999994E-2</v>
      </c>
      <c r="G50" s="97">
        <f>SUM(G47:G49)</f>
        <v>2017.4324256667819</v>
      </c>
    </row>
    <row r="51" spans="2:7" x14ac:dyDescent="0.25">
      <c r="B51" s="180" t="s">
        <v>176</v>
      </c>
      <c r="C51" s="180"/>
      <c r="D51" s="180"/>
      <c r="E51" s="180"/>
      <c r="F51" s="180"/>
      <c r="G51" s="98">
        <f>SUM(G45,D49,G50)</f>
        <v>22357.349401666786</v>
      </c>
    </row>
    <row r="52" spans="2:7" x14ac:dyDescent="0.25">
      <c r="B52" s="181" t="s">
        <v>177</v>
      </c>
      <c r="C52" s="181"/>
      <c r="D52" s="181"/>
      <c r="E52" s="181"/>
      <c r="F52" s="181"/>
      <c r="G52" s="99">
        <f>TRUNC(G51/12,2)</f>
        <v>1863.11</v>
      </c>
    </row>
    <row r="53" spans="2:7" ht="12.95" customHeight="1" x14ac:dyDescent="0.25"/>
    <row r="54" spans="2:7" ht="12.95" customHeight="1" x14ac:dyDescent="0.25"/>
    <row r="55" spans="2:7" x14ac:dyDescent="0.25">
      <c r="B55" s="186" t="s">
        <v>178</v>
      </c>
      <c r="C55" s="186"/>
      <c r="D55" s="186"/>
      <c r="E55" s="186"/>
      <c r="F55" s="186"/>
      <c r="G55" s="186"/>
    </row>
    <row r="56" spans="2:7" ht="12.95" customHeight="1" x14ac:dyDescent="0.25">
      <c r="B56" s="79"/>
      <c r="C56" s="79"/>
      <c r="D56" s="79"/>
      <c r="E56" s="79"/>
      <c r="F56" s="79"/>
      <c r="G56" s="79"/>
    </row>
    <row r="57" spans="2:7" x14ac:dyDescent="0.25">
      <c r="B57" s="187" t="s">
        <v>151</v>
      </c>
      <c r="C57" s="187"/>
      <c r="D57" s="187"/>
      <c r="E57" s="80" t="s">
        <v>152</v>
      </c>
      <c r="F57" s="80" t="s">
        <v>153</v>
      </c>
      <c r="G57" s="80" t="s">
        <v>154</v>
      </c>
    </row>
    <row r="58" spans="2:7" x14ac:dyDescent="0.25">
      <c r="B58" s="182" t="s">
        <v>155</v>
      </c>
      <c r="C58" s="182"/>
      <c r="D58" s="182"/>
      <c r="E58" s="81">
        <v>6</v>
      </c>
      <c r="F58" s="82">
        <v>117.33</v>
      </c>
      <c r="G58" s="82">
        <f>E58*F58</f>
        <v>703.98</v>
      </c>
    </row>
    <row r="59" spans="2:7" x14ac:dyDescent="0.25">
      <c r="B59" s="182" t="s">
        <v>156</v>
      </c>
      <c r="C59" s="182"/>
      <c r="D59" s="182"/>
      <c r="E59" s="81">
        <v>34</v>
      </c>
      <c r="F59" s="82">
        <v>140.29</v>
      </c>
      <c r="G59" s="82">
        <f>E59*F59</f>
        <v>4769.8599999999997</v>
      </c>
    </row>
    <row r="60" spans="2:7" x14ac:dyDescent="0.25">
      <c r="B60" s="182" t="s">
        <v>157</v>
      </c>
      <c r="C60" s="182"/>
      <c r="D60" s="182"/>
      <c r="E60" s="81">
        <v>102</v>
      </c>
      <c r="F60" s="82">
        <f>37.29*2</f>
        <v>74.58</v>
      </c>
      <c r="G60" s="82">
        <f>E60*F60</f>
        <v>7607.16</v>
      </c>
    </row>
    <row r="61" spans="2:7" x14ac:dyDescent="0.25">
      <c r="B61" s="183" t="s">
        <v>179</v>
      </c>
      <c r="C61" s="183"/>
      <c r="D61" s="183"/>
      <c r="E61" s="183"/>
      <c r="F61" s="183"/>
      <c r="G61" s="84">
        <f>SUM(G58:G60)</f>
        <v>13081</v>
      </c>
    </row>
    <row r="62" spans="2:7" ht="15" customHeight="1" x14ac:dyDescent="0.25">
      <c r="B62" s="184" t="s">
        <v>159</v>
      </c>
      <c r="C62" s="184"/>
      <c r="D62" s="184"/>
      <c r="E62" s="185" t="s">
        <v>160</v>
      </c>
      <c r="F62" s="185"/>
      <c r="G62" s="185"/>
    </row>
    <row r="63" spans="2:7" x14ac:dyDescent="0.25">
      <c r="B63" s="85" t="s">
        <v>161</v>
      </c>
      <c r="C63" s="86">
        <v>0.06</v>
      </c>
      <c r="D63" s="87">
        <f>G61*C63</f>
        <v>784.86</v>
      </c>
      <c r="E63" s="88" t="s">
        <v>162</v>
      </c>
      <c r="F63" s="89">
        <v>0.05</v>
      </c>
      <c r="G63" s="90">
        <f>D66*F63</f>
        <v>845.89266712532981</v>
      </c>
    </row>
    <row r="64" spans="2:7" x14ac:dyDescent="0.25">
      <c r="B64" s="85" t="s">
        <v>118</v>
      </c>
      <c r="C64" s="86">
        <v>6.7900000000000002E-2</v>
      </c>
      <c r="D64" s="87">
        <f>G61*C64</f>
        <v>888.19990000000007</v>
      </c>
      <c r="E64" s="88" t="s">
        <v>163</v>
      </c>
      <c r="F64" s="89">
        <v>6.4999999999999997E-3</v>
      </c>
      <c r="G64" s="90">
        <f>D66*F64</f>
        <v>109.96604672629286</v>
      </c>
    </row>
    <row r="65" spans="2:7" x14ac:dyDescent="0.25">
      <c r="B65" s="91" t="s">
        <v>164</v>
      </c>
      <c r="C65" s="92">
        <f>SUM(C63:C64)</f>
        <v>0.12790000000000001</v>
      </c>
      <c r="D65" s="93">
        <f>SUM(D63:D64)</f>
        <v>1673.0599000000002</v>
      </c>
      <c r="E65" s="88" t="s">
        <v>165</v>
      </c>
      <c r="F65" s="89">
        <v>0.03</v>
      </c>
      <c r="G65" s="90">
        <f>D66*F65</f>
        <v>507.53560027519779</v>
      </c>
    </row>
    <row r="66" spans="2:7" ht="15" customHeight="1" x14ac:dyDescent="0.25">
      <c r="B66" s="179" t="s">
        <v>166</v>
      </c>
      <c r="C66" s="179"/>
      <c r="D66" s="82">
        <f>(D65+G61)/(1-C65)</f>
        <v>16917.853342506594</v>
      </c>
      <c r="E66" s="100" t="s">
        <v>167</v>
      </c>
      <c r="F66" s="101">
        <f>SUM(F63:F65)</f>
        <v>8.6499999999999994E-2</v>
      </c>
      <c r="G66" s="97">
        <f>SUM(G63:G65)</f>
        <v>1463.3943141268205</v>
      </c>
    </row>
    <row r="67" spans="2:7" x14ac:dyDescent="0.25">
      <c r="B67" s="180" t="s">
        <v>180</v>
      </c>
      <c r="C67" s="180"/>
      <c r="D67" s="180"/>
      <c r="E67" s="180"/>
      <c r="F67" s="180"/>
      <c r="G67" s="98">
        <f>SUM(G61,D65,G66)</f>
        <v>16217.454214126821</v>
      </c>
    </row>
    <row r="68" spans="2:7" x14ac:dyDescent="0.25">
      <c r="B68" s="181" t="s">
        <v>181</v>
      </c>
      <c r="C68" s="181"/>
      <c r="D68" s="181"/>
      <c r="E68" s="181"/>
      <c r="F68" s="181"/>
      <c r="G68" s="99">
        <f>TRUNC(G67/12,2)</f>
        <v>1351.45</v>
      </c>
    </row>
  </sheetData>
  <mergeCells count="48">
    <mergeCell ref="A1:G1"/>
    <mergeCell ref="A2:G2"/>
    <mergeCell ref="A3:G3"/>
    <mergeCell ref="B5:G5"/>
    <mergeCell ref="B7:G7"/>
    <mergeCell ref="B9:D9"/>
    <mergeCell ref="B10:D10"/>
    <mergeCell ref="B11:D11"/>
    <mergeCell ref="B12:D12"/>
    <mergeCell ref="B13:F13"/>
    <mergeCell ref="B14:D14"/>
    <mergeCell ref="E14:G14"/>
    <mergeCell ref="B18:C18"/>
    <mergeCell ref="B19:F19"/>
    <mergeCell ref="B20:F20"/>
    <mergeCell ref="B23:G23"/>
    <mergeCell ref="B25:D25"/>
    <mergeCell ref="B26:D26"/>
    <mergeCell ref="B27:D27"/>
    <mergeCell ref="B28:D28"/>
    <mergeCell ref="B29:F29"/>
    <mergeCell ref="B30:D30"/>
    <mergeCell ref="E30:G30"/>
    <mergeCell ref="B34:C34"/>
    <mergeCell ref="B35:F35"/>
    <mergeCell ref="B36:F36"/>
    <mergeCell ref="B39:G39"/>
    <mergeCell ref="B41:D41"/>
    <mergeCell ref="B42:D42"/>
    <mergeCell ref="B43:D43"/>
    <mergeCell ref="B44:D44"/>
    <mergeCell ref="B45:F45"/>
    <mergeCell ref="B46:D46"/>
    <mergeCell ref="E46:G46"/>
    <mergeCell ref="B50:C50"/>
    <mergeCell ref="B51:F51"/>
    <mergeCell ref="B52:F52"/>
    <mergeCell ref="B55:G55"/>
    <mergeCell ref="B57:D57"/>
    <mergeCell ref="B58:D58"/>
    <mergeCell ref="B66:C66"/>
    <mergeCell ref="B67:F67"/>
    <mergeCell ref="B68:F68"/>
    <mergeCell ref="B59:D59"/>
    <mergeCell ref="B60:D60"/>
    <mergeCell ref="B61:F61"/>
    <mergeCell ref="B62:D62"/>
    <mergeCell ref="E62:G62"/>
  </mergeCells>
  <pageMargins left="0.51180555555555596" right="0.51180555555555596" top="0.78749999999999998" bottom="0.78749999999999998" header="0.31527777777777799" footer="0.511811023622047"/>
  <pageSetup paperSize="9" scale="74" fitToHeight="0" orientation="portrait" horizontalDpi="300" verticalDpi="300" r:id="rId1"/>
  <headerFooter>
    <oddHeader>&amp;C&amp;F - &amp;A - Pág. &amp;P/&amp;N</oddHead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3"/>
  <sheetViews>
    <sheetView zoomScaleNormal="100" workbookViewId="0">
      <selection activeCell="E16" sqref="E16"/>
    </sheetView>
  </sheetViews>
  <sheetFormatPr defaultColWidth="9.140625" defaultRowHeight="15.75" x14ac:dyDescent="0.25"/>
  <cols>
    <col min="1" max="1" width="9.140625" style="30"/>
    <col min="2" max="2" width="49.28515625" style="30" customWidth="1"/>
    <col min="3" max="8" width="14.28515625" style="30" customWidth="1"/>
    <col min="9" max="9" width="12.7109375" style="30" customWidth="1"/>
    <col min="10" max="10" width="12" style="30" customWidth="1"/>
    <col min="11" max="11" width="15.140625" style="30" customWidth="1"/>
    <col min="12" max="1024" width="9.140625" style="30"/>
  </cols>
  <sheetData>
    <row r="1" spans="1:8" x14ac:dyDescent="0.25">
      <c r="A1" s="160" t="s">
        <v>0</v>
      </c>
      <c r="B1" s="160"/>
      <c r="C1" s="160"/>
      <c r="D1" s="160"/>
      <c r="E1" s="160"/>
      <c r="F1" s="160"/>
      <c r="G1" s="160"/>
      <c r="H1" s="160"/>
    </row>
    <row r="2" spans="1:8" x14ac:dyDescent="0.25">
      <c r="A2" s="160" t="s">
        <v>1</v>
      </c>
      <c r="B2" s="160"/>
      <c r="C2" s="160"/>
      <c r="D2" s="160"/>
      <c r="E2" s="160"/>
      <c r="F2" s="160"/>
      <c r="G2" s="160"/>
      <c r="H2" s="160"/>
    </row>
    <row r="3" spans="1:8" x14ac:dyDescent="0.25">
      <c r="A3" s="177" t="s">
        <v>2</v>
      </c>
      <c r="B3" s="177"/>
      <c r="C3" s="177"/>
      <c r="D3" s="177"/>
      <c r="E3" s="177"/>
      <c r="F3" s="177"/>
      <c r="G3" s="177"/>
      <c r="H3" s="177"/>
    </row>
    <row r="4" spans="1:8" x14ac:dyDescent="0.25">
      <c r="A4" s="31"/>
      <c r="B4" s="31"/>
      <c r="C4" s="31"/>
      <c r="D4" s="31"/>
      <c r="E4" s="31"/>
      <c r="F4" s="31"/>
      <c r="G4" s="31"/>
      <c r="H4" s="31"/>
    </row>
    <row r="5" spans="1:8" x14ac:dyDescent="0.25">
      <c r="A5" s="177" t="s">
        <v>3</v>
      </c>
      <c r="B5" s="177"/>
      <c r="C5" s="177"/>
      <c r="D5" s="177"/>
      <c r="E5" s="177"/>
      <c r="F5" s="177"/>
      <c r="G5" s="177"/>
      <c r="H5" s="177"/>
    </row>
    <row r="6" spans="1:8" x14ac:dyDescent="0.25">
      <c r="A6" s="31"/>
      <c r="B6" s="31"/>
      <c r="C6" s="31"/>
      <c r="D6" s="31"/>
      <c r="E6" s="31"/>
      <c r="F6" s="31"/>
      <c r="G6" s="31"/>
      <c r="H6" s="31"/>
    </row>
    <row r="7" spans="1:8" x14ac:dyDescent="0.25">
      <c r="A7" s="165" t="s">
        <v>182</v>
      </c>
      <c r="B7" s="165"/>
      <c r="C7" s="165"/>
      <c r="D7" s="165"/>
      <c r="E7" s="165"/>
      <c r="F7" s="165"/>
      <c r="G7" s="165"/>
      <c r="H7" s="165"/>
    </row>
    <row r="9" spans="1:8" ht="47.25" x14ac:dyDescent="0.25">
      <c r="A9" s="36" t="s">
        <v>183</v>
      </c>
      <c r="B9" s="36" t="s">
        <v>184</v>
      </c>
      <c r="C9" s="102" t="s">
        <v>185</v>
      </c>
      <c r="D9" s="102" t="s">
        <v>186</v>
      </c>
      <c r="E9" s="36" t="s">
        <v>187</v>
      </c>
      <c r="F9" s="36" t="s">
        <v>188</v>
      </c>
      <c r="G9" s="36" t="s">
        <v>189</v>
      </c>
      <c r="H9" s="36" t="s">
        <v>190</v>
      </c>
    </row>
    <row r="10" spans="1:8" ht="30" x14ac:dyDescent="0.25">
      <c r="A10" s="37">
        <v>1</v>
      </c>
      <c r="B10" s="103" t="s">
        <v>191</v>
      </c>
      <c r="C10" s="104">
        <v>1</v>
      </c>
      <c r="D10" s="104">
        <v>2</v>
      </c>
      <c r="E10" s="104">
        <f t="shared" ref="E10:E17" si="0">C10*D10</f>
        <v>2</v>
      </c>
      <c r="F10" s="105">
        <v>60.689285714285703</v>
      </c>
      <c r="G10" s="106">
        <f t="shared" ref="G10:G17" si="1">E10*F10</f>
        <v>121.37857142857141</v>
      </c>
      <c r="H10" s="107">
        <f t="shared" ref="H10:H17" si="2">G10/12</f>
        <v>10.11488095238095</v>
      </c>
    </row>
    <row r="11" spans="1:8" x14ac:dyDescent="0.25">
      <c r="A11" s="37">
        <v>2</v>
      </c>
      <c r="B11" s="103" t="s">
        <v>192</v>
      </c>
      <c r="C11" s="104">
        <v>3</v>
      </c>
      <c r="D11" s="104">
        <v>2</v>
      </c>
      <c r="E11" s="104">
        <f t="shared" si="0"/>
        <v>6</v>
      </c>
      <c r="F11" s="105">
        <v>5.0599999999999996</v>
      </c>
      <c r="G11" s="106">
        <f t="shared" si="1"/>
        <v>30.36</v>
      </c>
      <c r="H11" s="107">
        <f t="shared" si="2"/>
        <v>2.5299999999999998</v>
      </c>
    </row>
    <row r="12" spans="1:8" ht="30" x14ac:dyDescent="0.25">
      <c r="A12" s="37">
        <v>3</v>
      </c>
      <c r="B12" s="103" t="s">
        <v>193</v>
      </c>
      <c r="C12" s="104">
        <v>2</v>
      </c>
      <c r="D12" s="104">
        <v>2</v>
      </c>
      <c r="E12" s="104">
        <f t="shared" si="0"/>
        <v>4</v>
      </c>
      <c r="F12" s="105">
        <v>86.77</v>
      </c>
      <c r="G12" s="106">
        <f t="shared" si="1"/>
        <v>347.08</v>
      </c>
      <c r="H12" s="107">
        <f t="shared" si="2"/>
        <v>28.923333333333332</v>
      </c>
    </row>
    <row r="13" spans="1:8" ht="30" x14ac:dyDescent="0.25">
      <c r="A13" s="37">
        <v>4</v>
      </c>
      <c r="B13" s="103" t="s">
        <v>194</v>
      </c>
      <c r="C13" s="104">
        <v>3</v>
      </c>
      <c r="D13" s="104">
        <v>2</v>
      </c>
      <c r="E13" s="104">
        <f t="shared" si="0"/>
        <v>6</v>
      </c>
      <c r="F13" s="105">
        <v>32.46</v>
      </c>
      <c r="G13" s="106">
        <f t="shared" si="1"/>
        <v>194.76</v>
      </c>
      <c r="H13" s="107">
        <f t="shared" si="2"/>
        <v>16.23</v>
      </c>
    </row>
    <row r="14" spans="1:8" ht="30" x14ac:dyDescent="0.25">
      <c r="A14" s="37">
        <v>5</v>
      </c>
      <c r="B14" s="103" t="s">
        <v>195</v>
      </c>
      <c r="C14" s="108">
        <v>2</v>
      </c>
      <c r="D14" s="104">
        <v>2</v>
      </c>
      <c r="E14" s="104">
        <f t="shared" si="0"/>
        <v>4</v>
      </c>
      <c r="F14" s="105">
        <v>76.739999999999995</v>
      </c>
      <c r="G14" s="106">
        <f t="shared" si="1"/>
        <v>306.95999999999998</v>
      </c>
      <c r="H14" s="107">
        <f t="shared" si="2"/>
        <v>25.58</v>
      </c>
    </row>
    <row r="15" spans="1:8" x14ac:dyDescent="0.25">
      <c r="A15" s="37">
        <v>6</v>
      </c>
      <c r="B15" s="103" t="s">
        <v>196</v>
      </c>
      <c r="C15" s="104">
        <v>1</v>
      </c>
      <c r="D15" s="104">
        <v>2</v>
      </c>
      <c r="E15" s="104">
        <f t="shared" si="0"/>
        <v>2</v>
      </c>
      <c r="F15" s="105">
        <v>152.1</v>
      </c>
      <c r="G15" s="106">
        <f t="shared" si="1"/>
        <v>304.2</v>
      </c>
      <c r="H15" s="107">
        <f t="shared" si="2"/>
        <v>25.349999999999998</v>
      </c>
    </row>
    <row r="16" spans="1:8" x14ac:dyDescent="0.25">
      <c r="A16" s="37">
        <v>7</v>
      </c>
      <c r="B16" s="103" t="s">
        <v>197</v>
      </c>
      <c r="C16" s="108">
        <v>1</v>
      </c>
      <c r="D16" s="104">
        <v>1</v>
      </c>
      <c r="E16" s="104">
        <f t="shared" si="0"/>
        <v>1</v>
      </c>
      <c r="F16" s="105">
        <v>7.68</v>
      </c>
      <c r="G16" s="106">
        <f t="shared" si="1"/>
        <v>7.68</v>
      </c>
      <c r="H16" s="107">
        <f t="shared" si="2"/>
        <v>0.64</v>
      </c>
    </row>
    <row r="17" spans="1:9" x14ac:dyDescent="0.25">
      <c r="A17" s="37">
        <v>8</v>
      </c>
      <c r="B17" s="103" t="s">
        <v>51</v>
      </c>
      <c r="C17" s="104"/>
      <c r="D17" s="104"/>
      <c r="E17" s="104">
        <f t="shared" si="0"/>
        <v>0</v>
      </c>
      <c r="F17" s="105">
        <v>0</v>
      </c>
      <c r="G17" s="106">
        <f t="shared" si="1"/>
        <v>0</v>
      </c>
      <c r="H17" s="107">
        <f t="shared" si="2"/>
        <v>0</v>
      </c>
    </row>
    <row r="18" spans="1:9" ht="15.75" customHeight="1" x14ac:dyDescent="0.25">
      <c r="A18" s="191" t="s">
        <v>198</v>
      </c>
      <c r="B18" s="191"/>
      <c r="C18" s="191"/>
      <c r="D18" s="191"/>
      <c r="E18" s="191"/>
      <c r="F18" s="191"/>
      <c r="G18" s="191"/>
      <c r="H18" s="109">
        <f>SUM(H10:H17)</f>
        <v>109.36821428571427</v>
      </c>
      <c r="I18" s="41"/>
    </row>
    <row r="21" spans="1:9" x14ac:dyDescent="0.25">
      <c r="A21" s="192" t="s">
        <v>199</v>
      </c>
      <c r="B21" s="192"/>
      <c r="C21" s="192"/>
      <c r="D21" s="192"/>
      <c r="E21" s="192"/>
      <c r="F21" s="192"/>
      <c r="G21" s="192"/>
      <c r="H21" s="192"/>
    </row>
    <row r="23" spans="1:9" ht="47.25" x14ac:dyDescent="0.25">
      <c r="A23" s="36" t="s">
        <v>183</v>
      </c>
      <c r="B23" s="36" t="s">
        <v>184</v>
      </c>
      <c r="C23" s="102" t="s">
        <v>185</v>
      </c>
      <c r="D23" s="102" t="s">
        <v>186</v>
      </c>
      <c r="E23" s="36" t="s">
        <v>187</v>
      </c>
      <c r="F23" s="36" t="s">
        <v>188</v>
      </c>
      <c r="G23" s="36" t="s">
        <v>189</v>
      </c>
      <c r="H23" s="36" t="s">
        <v>190</v>
      </c>
    </row>
    <row r="24" spans="1:9" ht="30" x14ac:dyDescent="0.25">
      <c r="A24" s="37">
        <v>1</v>
      </c>
      <c r="B24" s="103" t="s">
        <v>191</v>
      </c>
      <c r="C24" s="104">
        <v>1</v>
      </c>
      <c r="D24" s="104">
        <v>2</v>
      </c>
      <c r="E24" s="104">
        <f t="shared" ref="E24:E32" si="3">C24*D24</f>
        <v>2</v>
      </c>
      <c r="F24" s="105">
        <v>60.689285714285703</v>
      </c>
      <c r="G24" s="106">
        <f t="shared" ref="G24:G32" si="4">E24*F24</f>
        <v>121.37857142857141</v>
      </c>
      <c r="H24" s="107">
        <f t="shared" ref="H24:H32" si="5">G24/12</f>
        <v>10.11488095238095</v>
      </c>
    </row>
    <row r="25" spans="1:9" x14ac:dyDescent="0.25">
      <c r="A25" s="37">
        <v>2</v>
      </c>
      <c r="B25" s="103" t="s">
        <v>192</v>
      </c>
      <c r="C25" s="104">
        <v>3</v>
      </c>
      <c r="D25" s="104">
        <v>2</v>
      </c>
      <c r="E25" s="104">
        <f t="shared" si="3"/>
        <v>6</v>
      </c>
      <c r="F25" s="105">
        <v>5.0599999999999996</v>
      </c>
      <c r="G25" s="106">
        <f t="shared" si="4"/>
        <v>30.36</v>
      </c>
      <c r="H25" s="107">
        <f t="shared" si="5"/>
        <v>2.5299999999999998</v>
      </c>
    </row>
    <row r="26" spans="1:9" ht="30" x14ac:dyDescent="0.25">
      <c r="A26" s="37">
        <v>3</v>
      </c>
      <c r="B26" s="103" t="s">
        <v>193</v>
      </c>
      <c r="C26" s="104">
        <v>2</v>
      </c>
      <c r="D26" s="104">
        <v>2</v>
      </c>
      <c r="E26" s="104">
        <f t="shared" si="3"/>
        <v>4</v>
      </c>
      <c r="F26" s="105">
        <v>86.77</v>
      </c>
      <c r="G26" s="106">
        <f t="shared" si="4"/>
        <v>347.08</v>
      </c>
      <c r="H26" s="107">
        <f t="shared" si="5"/>
        <v>28.923333333333332</v>
      </c>
    </row>
    <row r="27" spans="1:9" ht="30" x14ac:dyDescent="0.25">
      <c r="A27" s="37">
        <v>4</v>
      </c>
      <c r="B27" s="103" t="s">
        <v>194</v>
      </c>
      <c r="C27" s="104">
        <v>2</v>
      </c>
      <c r="D27" s="104">
        <v>2</v>
      </c>
      <c r="E27" s="104">
        <f t="shared" si="3"/>
        <v>4</v>
      </c>
      <c r="F27" s="105">
        <v>32.46</v>
      </c>
      <c r="G27" s="106">
        <f t="shared" si="4"/>
        <v>129.84</v>
      </c>
      <c r="H27" s="107">
        <f t="shared" si="5"/>
        <v>10.82</v>
      </c>
    </row>
    <row r="28" spans="1:9" ht="30" x14ac:dyDescent="0.25">
      <c r="A28" s="37">
        <v>5</v>
      </c>
      <c r="B28" s="103" t="s">
        <v>195</v>
      </c>
      <c r="C28" s="104">
        <v>2</v>
      </c>
      <c r="D28" s="104">
        <v>2</v>
      </c>
      <c r="E28" s="104">
        <f t="shared" si="3"/>
        <v>4</v>
      </c>
      <c r="F28" s="105">
        <v>76.739999999999995</v>
      </c>
      <c r="G28" s="106">
        <f t="shared" si="4"/>
        <v>306.95999999999998</v>
      </c>
      <c r="H28" s="107">
        <f t="shared" si="5"/>
        <v>25.58</v>
      </c>
    </row>
    <row r="29" spans="1:9" x14ac:dyDescent="0.25">
      <c r="A29" s="37">
        <v>6</v>
      </c>
      <c r="B29" s="103" t="s">
        <v>200</v>
      </c>
      <c r="C29" s="108">
        <v>1</v>
      </c>
      <c r="D29" s="104">
        <v>2</v>
      </c>
      <c r="E29" s="104">
        <f t="shared" si="3"/>
        <v>2</v>
      </c>
      <c r="F29" s="105">
        <v>38.229999999999997</v>
      </c>
      <c r="G29" s="106">
        <f t="shared" si="4"/>
        <v>76.459999999999994</v>
      </c>
      <c r="H29" s="107">
        <f t="shared" si="5"/>
        <v>6.3716666666666661</v>
      </c>
    </row>
    <row r="30" spans="1:9" x14ac:dyDescent="0.25">
      <c r="A30" s="37">
        <v>7</v>
      </c>
      <c r="B30" s="103" t="s">
        <v>201</v>
      </c>
      <c r="C30" s="104">
        <v>1</v>
      </c>
      <c r="D30" s="104">
        <v>2</v>
      </c>
      <c r="E30" s="104">
        <f t="shared" si="3"/>
        <v>2</v>
      </c>
      <c r="F30" s="105">
        <v>48.18</v>
      </c>
      <c r="G30" s="106">
        <f t="shared" si="4"/>
        <v>96.36</v>
      </c>
      <c r="H30" s="107">
        <f t="shared" si="5"/>
        <v>8.0299999999999994</v>
      </c>
    </row>
    <row r="31" spans="1:9" x14ac:dyDescent="0.25">
      <c r="A31" s="37">
        <v>8</v>
      </c>
      <c r="B31" s="103" t="s">
        <v>197</v>
      </c>
      <c r="C31" s="108">
        <v>1</v>
      </c>
      <c r="D31" s="104">
        <v>1</v>
      </c>
      <c r="E31" s="104">
        <f t="shared" si="3"/>
        <v>1</v>
      </c>
      <c r="F31" s="105">
        <v>7.68</v>
      </c>
      <c r="G31" s="106">
        <f t="shared" si="4"/>
        <v>7.68</v>
      </c>
      <c r="H31" s="107">
        <f t="shared" si="5"/>
        <v>0.64</v>
      </c>
    </row>
    <row r="32" spans="1:9" x14ac:dyDescent="0.25">
      <c r="A32" s="37">
        <v>9</v>
      </c>
      <c r="B32" s="103" t="s">
        <v>51</v>
      </c>
      <c r="C32" s="104"/>
      <c r="D32" s="104"/>
      <c r="E32" s="104">
        <f t="shared" si="3"/>
        <v>0</v>
      </c>
      <c r="F32" s="105">
        <v>0</v>
      </c>
      <c r="G32" s="106">
        <f t="shared" si="4"/>
        <v>0</v>
      </c>
      <c r="H32" s="107">
        <f t="shared" si="5"/>
        <v>0</v>
      </c>
    </row>
    <row r="33" spans="1:8" ht="15.75" customHeight="1" x14ac:dyDescent="0.25">
      <c r="A33" s="191" t="s">
        <v>198</v>
      </c>
      <c r="B33" s="191"/>
      <c r="C33" s="191"/>
      <c r="D33" s="191"/>
      <c r="E33" s="191"/>
      <c r="F33" s="191"/>
      <c r="G33" s="191"/>
      <c r="H33" s="109">
        <f>SUM(H24:H32)</f>
        <v>93.009880952380954</v>
      </c>
    </row>
  </sheetData>
  <mergeCells count="8">
    <mergeCell ref="A18:G18"/>
    <mergeCell ref="A21:H21"/>
    <mergeCell ref="A33:G33"/>
    <mergeCell ref="A1:H1"/>
    <mergeCell ref="A2:H2"/>
    <mergeCell ref="A3:H3"/>
    <mergeCell ref="A5:H5"/>
    <mergeCell ref="A7:H7"/>
  </mergeCells>
  <pageMargins left="0.51180555555555596" right="0.51180555555555596" top="0.78749999999999998" bottom="0.78749999999999998" header="0.31527777777777799" footer="0.511811023622047"/>
  <pageSetup paperSize="9" scale="64" fitToHeight="0" orientation="portrait" horizontalDpi="300" verticalDpi="300" r:id="rId1"/>
  <headerFooter>
    <oddHeader>&amp;C&amp;F - &amp;A - Pág. &amp;P/&amp;N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1"/>
  <sheetViews>
    <sheetView topLeftCell="A22" zoomScaleNormal="100" workbookViewId="0">
      <selection activeCell="E25" sqref="E25"/>
    </sheetView>
  </sheetViews>
  <sheetFormatPr defaultColWidth="8.7109375" defaultRowHeight="15.75" x14ac:dyDescent="0.25"/>
  <cols>
    <col min="1" max="1" width="9.140625" style="30" customWidth="1"/>
    <col min="2" max="2" width="49.28515625" style="30" customWidth="1"/>
    <col min="3" max="8" width="15.42578125" style="30" customWidth="1"/>
  </cols>
  <sheetData>
    <row r="1" spans="1:8" x14ac:dyDescent="0.25">
      <c r="A1" s="160" t="s">
        <v>0</v>
      </c>
      <c r="B1" s="160"/>
      <c r="C1" s="160"/>
      <c r="D1" s="160"/>
      <c r="E1" s="160"/>
      <c r="F1" s="160"/>
      <c r="G1" s="160"/>
      <c r="H1" s="160"/>
    </row>
    <row r="2" spans="1:8" x14ac:dyDescent="0.25">
      <c r="A2" s="160" t="s">
        <v>1</v>
      </c>
      <c r="B2" s="160"/>
      <c r="C2" s="160"/>
      <c r="D2" s="160"/>
      <c r="E2" s="160"/>
      <c r="F2" s="160"/>
      <c r="G2" s="160"/>
      <c r="H2" s="160"/>
    </row>
    <row r="3" spans="1:8" x14ac:dyDescent="0.25">
      <c r="A3" s="177" t="s">
        <v>2</v>
      </c>
      <c r="B3" s="177"/>
      <c r="C3" s="177"/>
      <c r="D3" s="177"/>
      <c r="E3" s="177"/>
      <c r="F3" s="177"/>
      <c r="G3" s="177"/>
      <c r="H3" s="177"/>
    </row>
    <row r="4" spans="1:8" x14ac:dyDescent="0.25">
      <c r="A4" s="31"/>
      <c r="B4" s="31"/>
      <c r="C4" s="31"/>
      <c r="D4" s="31"/>
      <c r="E4" s="31"/>
      <c r="F4" s="31"/>
      <c r="G4" s="31"/>
      <c r="H4" s="31"/>
    </row>
    <row r="5" spans="1:8" x14ac:dyDescent="0.25">
      <c r="A5" s="177" t="s">
        <v>3</v>
      </c>
      <c r="B5" s="177"/>
      <c r="C5" s="177"/>
      <c r="D5" s="177"/>
      <c r="E5" s="177"/>
      <c r="F5" s="177"/>
      <c r="G5" s="177"/>
      <c r="H5" s="177"/>
    </row>
    <row r="6" spans="1:8" x14ac:dyDescent="0.25">
      <c r="A6" s="31"/>
      <c r="B6" s="31"/>
      <c r="C6" s="31"/>
      <c r="D6" s="31"/>
      <c r="E6" s="31"/>
      <c r="F6" s="31"/>
      <c r="G6" s="31"/>
      <c r="H6" s="31"/>
    </row>
    <row r="7" spans="1:8" x14ac:dyDescent="0.25">
      <c r="A7" s="165" t="s">
        <v>202</v>
      </c>
      <c r="B7" s="165"/>
      <c r="C7" s="165"/>
      <c r="D7" s="165"/>
      <c r="E7" s="165"/>
      <c r="F7" s="165"/>
      <c r="G7" s="165"/>
      <c r="H7" s="165"/>
    </row>
    <row r="9" spans="1:8" ht="31.5" customHeight="1" x14ac:dyDescent="0.25">
      <c r="A9" s="36" t="s">
        <v>183</v>
      </c>
      <c r="B9" s="164" t="s">
        <v>184</v>
      </c>
      <c r="C9" s="164"/>
      <c r="D9" s="164"/>
      <c r="E9" s="36" t="s">
        <v>203</v>
      </c>
      <c r="F9" s="36" t="s">
        <v>188</v>
      </c>
      <c r="G9" s="36" t="s">
        <v>189</v>
      </c>
      <c r="H9" s="36" t="s">
        <v>190</v>
      </c>
    </row>
    <row r="10" spans="1:8" ht="67.5" customHeight="1" x14ac:dyDescent="0.25">
      <c r="A10" s="37">
        <v>1</v>
      </c>
      <c r="B10" s="195" t="s">
        <v>204</v>
      </c>
      <c r="C10" s="195"/>
      <c r="D10" s="195"/>
      <c r="E10" s="104">
        <v>2</v>
      </c>
      <c r="F10" s="105">
        <v>30.44</v>
      </c>
      <c r="G10" s="106">
        <f t="shared" ref="G10:G15" si="0">E10*F10</f>
        <v>60.88</v>
      </c>
      <c r="H10" s="107">
        <f t="shared" ref="H10:H15" si="1">G10/12</f>
        <v>5.0733333333333333</v>
      </c>
    </row>
    <row r="11" spans="1:8" ht="15.75" customHeight="1" x14ac:dyDescent="0.25">
      <c r="A11" s="37">
        <v>2</v>
      </c>
      <c r="B11" s="195" t="s">
        <v>205</v>
      </c>
      <c r="C11" s="195"/>
      <c r="D11" s="195"/>
      <c r="E11" s="104">
        <v>4</v>
      </c>
      <c r="F11" s="105">
        <v>36.67</v>
      </c>
      <c r="G11" s="106">
        <f t="shared" si="0"/>
        <v>146.68</v>
      </c>
      <c r="H11" s="107">
        <f t="shared" si="1"/>
        <v>12.223333333333334</v>
      </c>
    </row>
    <row r="12" spans="1:8" ht="30.75" customHeight="1" x14ac:dyDescent="0.25">
      <c r="A12" s="37">
        <v>3</v>
      </c>
      <c r="B12" s="195" t="s">
        <v>206</v>
      </c>
      <c r="C12" s="195"/>
      <c r="D12" s="195"/>
      <c r="E12" s="104">
        <v>6</v>
      </c>
      <c r="F12" s="105">
        <v>2.2200000000000002</v>
      </c>
      <c r="G12" s="106">
        <f t="shared" si="0"/>
        <v>13.32</v>
      </c>
      <c r="H12" s="107">
        <f t="shared" si="1"/>
        <v>1.1100000000000001</v>
      </c>
    </row>
    <row r="13" spans="1:8" ht="42.75" customHeight="1" x14ac:dyDescent="0.25">
      <c r="A13" s="37">
        <v>4</v>
      </c>
      <c r="B13" s="195" t="s">
        <v>207</v>
      </c>
      <c r="C13" s="195"/>
      <c r="D13" s="195"/>
      <c r="E13" s="104">
        <v>4</v>
      </c>
      <c r="F13" s="105">
        <v>23.49</v>
      </c>
      <c r="G13" s="106">
        <f t="shared" si="0"/>
        <v>93.96</v>
      </c>
      <c r="H13" s="107">
        <f t="shared" si="1"/>
        <v>7.8299999999999992</v>
      </c>
    </row>
    <row r="14" spans="1:8" ht="26.25" customHeight="1" x14ac:dyDescent="0.25">
      <c r="A14" s="37">
        <v>5</v>
      </c>
      <c r="B14" s="195" t="s">
        <v>208</v>
      </c>
      <c r="C14" s="195"/>
      <c r="D14" s="195"/>
      <c r="E14" s="104">
        <v>2</v>
      </c>
      <c r="F14" s="105">
        <v>3.39</v>
      </c>
      <c r="G14" s="106">
        <f t="shared" si="0"/>
        <v>6.78</v>
      </c>
      <c r="H14" s="107">
        <f t="shared" si="1"/>
        <v>0.56500000000000006</v>
      </c>
    </row>
    <row r="15" spans="1:8" ht="26.25" customHeight="1" x14ac:dyDescent="0.25">
      <c r="A15" s="37">
        <v>6</v>
      </c>
      <c r="B15" s="195" t="s">
        <v>51</v>
      </c>
      <c r="C15" s="195"/>
      <c r="D15" s="195"/>
      <c r="E15" s="104">
        <v>0</v>
      </c>
      <c r="F15" s="105">
        <v>0</v>
      </c>
      <c r="G15" s="106">
        <f t="shared" si="0"/>
        <v>0</v>
      </c>
      <c r="H15" s="107">
        <f t="shared" si="1"/>
        <v>0</v>
      </c>
    </row>
    <row r="16" spans="1:8" ht="15.75" customHeight="1" x14ac:dyDescent="0.25">
      <c r="A16" s="193" t="s">
        <v>209</v>
      </c>
      <c r="B16" s="193"/>
      <c r="C16" s="193"/>
      <c r="D16" s="193"/>
      <c r="E16" s="193"/>
      <c r="F16" s="193"/>
      <c r="G16" s="193"/>
      <c r="H16" s="39">
        <f>SUM(H10:H15)</f>
        <v>26.801666666666666</v>
      </c>
    </row>
    <row r="17" spans="1:8" ht="15.75" customHeight="1" x14ac:dyDescent="0.25">
      <c r="A17" s="193" t="s">
        <v>265</v>
      </c>
      <c r="B17" s="193"/>
      <c r="C17" s="193"/>
      <c r="D17" s="193"/>
      <c r="E17" s="193"/>
      <c r="F17" s="193"/>
      <c r="G17" s="193"/>
      <c r="H17" s="110">
        <f>SUM(Resumo!F8,Resumo!F10,Resumo!F12,Resumo!F14)</f>
        <v>7</v>
      </c>
    </row>
    <row r="18" spans="1:8" ht="15.75" customHeight="1" x14ac:dyDescent="0.25">
      <c r="A18" s="194" t="s">
        <v>266</v>
      </c>
      <c r="B18" s="194"/>
      <c r="C18" s="194"/>
      <c r="D18" s="194"/>
      <c r="E18" s="194"/>
      <c r="F18" s="194"/>
      <c r="G18" s="194"/>
      <c r="H18" s="111">
        <f>H16*H17</f>
        <v>187.61166666666665</v>
      </c>
    </row>
    <row r="19" spans="1:8" x14ac:dyDescent="0.25">
      <c r="A19" s="30" t="s">
        <v>210</v>
      </c>
      <c r="B19" s="44"/>
      <c r="C19" s="44"/>
      <c r="D19" s="44"/>
      <c r="E19" s="44"/>
      <c r="F19" s="44"/>
      <c r="G19" s="44"/>
      <c r="H19" s="45"/>
    </row>
    <row r="20" spans="1:8" x14ac:dyDescent="0.25">
      <c r="A20" s="31"/>
      <c r="B20" s="31"/>
      <c r="C20" s="31"/>
      <c r="D20" s="31"/>
      <c r="E20" s="31"/>
      <c r="F20" s="31"/>
      <c r="G20" s="31"/>
      <c r="H20" s="31"/>
    </row>
    <row r="21" spans="1:8" x14ac:dyDescent="0.25">
      <c r="A21" s="192" t="s">
        <v>211</v>
      </c>
      <c r="B21" s="192"/>
      <c r="C21" s="192"/>
      <c r="D21" s="192"/>
      <c r="E21" s="192"/>
      <c r="F21" s="192"/>
      <c r="G21" s="192"/>
      <c r="H21" s="192"/>
    </row>
    <row r="23" spans="1:8" ht="33" customHeight="1" x14ac:dyDescent="0.25">
      <c r="A23" s="36" t="s">
        <v>183</v>
      </c>
      <c r="B23" s="164" t="s">
        <v>184</v>
      </c>
      <c r="C23" s="164"/>
      <c r="D23" s="164"/>
      <c r="E23" s="36" t="s">
        <v>203</v>
      </c>
      <c r="F23" s="36" t="s">
        <v>188</v>
      </c>
      <c r="G23" s="36" t="s">
        <v>189</v>
      </c>
      <c r="H23" s="36" t="s">
        <v>190</v>
      </c>
    </row>
    <row r="24" spans="1:8" ht="42" customHeight="1" x14ac:dyDescent="0.25">
      <c r="A24" s="37">
        <v>1</v>
      </c>
      <c r="B24" s="195" t="s">
        <v>212</v>
      </c>
      <c r="C24" s="195"/>
      <c r="D24" s="195"/>
      <c r="E24" s="104">
        <v>2</v>
      </c>
      <c r="F24" s="105">
        <v>33.51</v>
      </c>
      <c r="G24" s="106">
        <f t="shared" ref="G24:G30" si="2">E24*F24</f>
        <v>67.02</v>
      </c>
      <c r="H24" s="107">
        <f t="shared" ref="H24:H30" si="3">G24/12</f>
        <v>5.585</v>
      </c>
    </row>
    <row r="25" spans="1:8" ht="71.25" customHeight="1" x14ac:dyDescent="0.25">
      <c r="A25" s="37">
        <v>2</v>
      </c>
      <c r="B25" s="195" t="s">
        <v>204</v>
      </c>
      <c r="C25" s="195"/>
      <c r="D25" s="195"/>
      <c r="E25" s="104">
        <v>6</v>
      </c>
      <c r="F25" s="105">
        <v>30.44</v>
      </c>
      <c r="G25" s="106">
        <f t="shared" si="2"/>
        <v>182.64000000000001</v>
      </c>
      <c r="H25" s="107">
        <f t="shared" si="3"/>
        <v>15.22</v>
      </c>
    </row>
    <row r="26" spans="1:8" ht="15.75" customHeight="1" x14ac:dyDescent="0.25">
      <c r="A26" s="37">
        <v>3</v>
      </c>
      <c r="B26" s="195" t="s">
        <v>213</v>
      </c>
      <c r="C26" s="195"/>
      <c r="D26" s="195"/>
      <c r="E26" s="104">
        <v>4</v>
      </c>
      <c r="F26" s="105">
        <v>237.01</v>
      </c>
      <c r="G26" s="106">
        <f t="shared" si="2"/>
        <v>948.04</v>
      </c>
      <c r="H26" s="107">
        <f t="shared" si="3"/>
        <v>79.00333333333333</v>
      </c>
    </row>
    <row r="27" spans="1:8" ht="15.75" customHeight="1" x14ac:dyDescent="0.25">
      <c r="A27" s="37">
        <v>4</v>
      </c>
      <c r="B27" s="195" t="s">
        <v>205</v>
      </c>
      <c r="C27" s="195"/>
      <c r="D27" s="195"/>
      <c r="E27" s="104">
        <v>4</v>
      </c>
      <c r="F27" s="105">
        <v>36.67</v>
      </c>
      <c r="G27" s="106">
        <f t="shared" si="2"/>
        <v>146.68</v>
      </c>
      <c r="H27" s="107">
        <f t="shared" si="3"/>
        <v>12.223333333333334</v>
      </c>
    </row>
    <row r="28" spans="1:8" ht="29.25" customHeight="1" x14ac:dyDescent="0.25">
      <c r="A28" s="37">
        <v>5</v>
      </c>
      <c r="B28" s="195" t="s">
        <v>206</v>
      </c>
      <c r="C28" s="195"/>
      <c r="D28" s="195"/>
      <c r="E28" s="104">
        <v>2</v>
      </c>
      <c r="F28" s="105">
        <v>2.2200000000000002</v>
      </c>
      <c r="G28" s="106">
        <f t="shared" si="2"/>
        <v>4.4400000000000004</v>
      </c>
      <c r="H28" s="107">
        <f t="shared" si="3"/>
        <v>0.37000000000000005</v>
      </c>
    </row>
    <row r="29" spans="1:8" ht="54" customHeight="1" x14ac:dyDescent="0.25">
      <c r="A29" s="37">
        <v>6</v>
      </c>
      <c r="B29" s="195" t="s">
        <v>214</v>
      </c>
      <c r="C29" s="195"/>
      <c r="D29" s="195"/>
      <c r="E29" s="104">
        <v>2</v>
      </c>
      <c r="F29" s="105">
        <v>23.49</v>
      </c>
      <c r="G29" s="106">
        <f t="shared" si="2"/>
        <v>46.98</v>
      </c>
      <c r="H29" s="107">
        <f t="shared" si="3"/>
        <v>3.9149999999999996</v>
      </c>
    </row>
    <row r="30" spans="1:8" ht="15.75" customHeight="1" x14ac:dyDescent="0.25">
      <c r="A30" s="37">
        <v>7</v>
      </c>
      <c r="B30" s="195" t="s">
        <v>51</v>
      </c>
      <c r="C30" s="195"/>
      <c r="D30" s="195"/>
      <c r="E30" s="104">
        <v>0</v>
      </c>
      <c r="F30" s="105">
        <v>0</v>
      </c>
      <c r="G30" s="106">
        <f t="shared" si="2"/>
        <v>0</v>
      </c>
      <c r="H30" s="107">
        <f t="shared" si="3"/>
        <v>0</v>
      </c>
    </row>
    <row r="31" spans="1:8" ht="15.75" customHeight="1" x14ac:dyDescent="0.25">
      <c r="A31" s="193" t="s">
        <v>209</v>
      </c>
      <c r="B31" s="193"/>
      <c r="C31" s="193"/>
      <c r="D31" s="193"/>
      <c r="E31" s="193"/>
      <c r="F31" s="193"/>
      <c r="G31" s="193"/>
      <c r="H31" s="39">
        <f>SUM(H24:H30)</f>
        <v>116.31666666666668</v>
      </c>
    </row>
    <row r="32" spans="1:8" ht="15.75" customHeight="1" x14ac:dyDescent="0.25">
      <c r="A32" s="193" t="s">
        <v>215</v>
      </c>
      <c r="B32" s="193"/>
      <c r="C32" s="193"/>
      <c r="D32" s="193"/>
      <c r="E32" s="193"/>
      <c r="F32" s="193"/>
      <c r="G32" s="193"/>
      <c r="H32" s="110">
        <f>SUM(Resumo!F9,Resumo!F11,Resumo!F13,Resumo!F15)</f>
        <v>6</v>
      </c>
    </row>
    <row r="33" spans="1:8" ht="15.75" customHeight="1" x14ac:dyDescent="0.25">
      <c r="A33" s="194" t="s">
        <v>267</v>
      </c>
      <c r="B33" s="194"/>
      <c r="C33" s="194"/>
      <c r="D33" s="194"/>
      <c r="E33" s="194"/>
      <c r="F33" s="194"/>
      <c r="G33" s="194"/>
      <c r="H33" s="111">
        <f>H31*H32</f>
        <v>697.90000000000009</v>
      </c>
    </row>
    <row r="34" spans="1:8" x14ac:dyDescent="0.25">
      <c r="A34" s="30" t="s">
        <v>210</v>
      </c>
      <c r="B34" s="112"/>
      <c r="C34" s="112"/>
      <c r="D34" s="112"/>
      <c r="E34" s="112"/>
      <c r="F34" s="112"/>
      <c r="G34" s="112"/>
      <c r="H34" s="113"/>
    </row>
    <row r="36" spans="1:8" ht="15.75" customHeight="1" x14ac:dyDescent="0.25">
      <c r="C36" s="184" t="s">
        <v>159</v>
      </c>
      <c r="D36" s="184"/>
      <c r="E36" s="184"/>
      <c r="F36" s="185" t="s">
        <v>160</v>
      </c>
      <c r="G36" s="185"/>
      <c r="H36" s="185"/>
    </row>
    <row r="37" spans="1:8" x14ac:dyDescent="0.25">
      <c r="C37" s="85" t="s">
        <v>161</v>
      </c>
      <c r="D37" s="86">
        <v>0.06</v>
      </c>
      <c r="E37" s="87">
        <f>(H33+H18)*D37</f>
        <v>53.130700000000004</v>
      </c>
      <c r="F37" s="88" t="s">
        <v>162</v>
      </c>
      <c r="G37" s="89">
        <v>0.05</v>
      </c>
      <c r="H37" s="90">
        <f>E40*G37</f>
        <v>57.262275474907327</v>
      </c>
    </row>
    <row r="38" spans="1:8" x14ac:dyDescent="0.25">
      <c r="C38" s="85" t="s">
        <v>118</v>
      </c>
      <c r="D38" s="86">
        <v>6.7900000000000002E-2</v>
      </c>
      <c r="E38" s="87">
        <f>(H33+H18)*D38</f>
        <v>60.126242166666678</v>
      </c>
      <c r="F38" s="88" t="s">
        <v>163</v>
      </c>
      <c r="G38" s="89">
        <v>6.4999999999999997E-3</v>
      </c>
      <c r="H38" s="90">
        <f>E40*G38</f>
        <v>7.4440958117379514</v>
      </c>
    </row>
    <row r="39" spans="1:8" x14ac:dyDescent="0.25">
      <c r="C39" s="91" t="s">
        <v>164</v>
      </c>
      <c r="D39" s="92">
        <f>SUM(D37:D38)</f>
        <v>0.12790000000000001</v>
      </c>
      <c r="E39" s="93">
        <f>SUM(E37:E38)</f>
        <v>113.25694216666668</v>
      </c>
      <c r="F39" s="88" t="s">
        <v>165</v>
      </c>
      <c r="G39" s="89">
        <v>0.03</v>
      </c>
      <c r="H39" s="90">
        <f>E40*G39</f>
        <v>34.357365284944393</v>
      </c>
    </row>
    <row r="40" spans="1:8" ht="15.75" customHeight="1" x14ac:dyDescent="0.25">
      <c r="C40" s="188" t="s">
        <v>166</v>
      </c>
      <c r="D40" s="188"/>
      <c r="E40" s="94">
        <f>(E39+(H33+H18))/(1-D39)</f>
        <v>1145.2455094981465</v>
      </c>
      <c r="F40" s="95" t="s">
        <v>167</v>
      </c>
      <c r="G40" s="96">
        <f>SUM(G37:G39)</f>
        <v>8.6499999999999994E-2</v>
      </c>
      <c r="H40" s="97">
        <f>SUM(H37:H39)</f>
        <v>99.063736571589672</v>
      </c>
    </row>
    <row r="41" spans="1:8" x14ac:dyDescent="0.25">
      <c r="C41" s="189" t="s">
        <v>216</v>
      </c>
      <c r="D41" s="189"/>
      <c r="E41" s="189"/>
      <c r="F41" s="189"/>
      <c r="G41" s="189"/>
      <c r="H41" s="98">
        <f>TRUNC(SUM(H33,H18,E39,H40),2)</f>
        <v>1097.83</v>
      </c>
    </row>
  </sheetData>
  <mergeCells count="31">
    <mergeCell ref="A1:H1"/>
    <mergeCell ref="A2:H2"/>
    <mergeCell ref="A3:H3"/>
    <mergeCell ref="A5:H5"/>
    <mergeCell ref="A7:H7"/>
    <mergeCell ref="B9:D9"/>
    <mergeCell ref="B10:D10"/>
    <mergeCell ref="B11:D11"/>
    <mergeCell ref="B12:D12"/>
    <mergeCell ref="B13:D13"/>
    <mergeCell ref="B14:D14"/>
    <mergeCell ref="B15:D15"/>
    <mergeCell ref="A16:G16"/>
    <mergeCell ref="A17:G17"/>
    <mergeCell ref="A18:G18"/>
    <mergeCell ref="A21:H21"/>
    <mergeCell ref="B23:D23"/>
    <mergeCell ref="B24:D24"/>
    <mergeCell ref="B25:D25"/>
    <mergeCell ref="B26:D26"/>
    <mergeCell ref="B27:D27"/>
    <mergeCell ref="B28:D28"/>
    <mergeCell ref="B29:D29"/>
    <mergeCell ref="B30:D30"/>
    <mergeCell ref="A31:G31"/>
    <mergeCell ref="C41:G41"/>
    <mergeCell ref="A32:G32"/>
    <mergeCell ref="A33:G33"/>
    <mergeCell ref="C36:E36"/>
    <mergeCell ref="F36:H36"/>
    <mergeCell ref="C40:D40"/>
  </mergeCells>
  <pageMargins left="0.51180555555555596" right="0.51180555555555596" top="0.78749999999999998" bottom="0.78749999999999998" header="0.31527777777777799" footer="0.511811023622047"/>
  <pageSetup paperSize="9" scale="61" fitToHeight="0" orientation="portrait" horizontalDpi="300" verticalDpi="300" r:id="rId1"/>
  <headerFooter>
    <oddHeader>&amp;C&amp;F - &amp;A - Pág. &amp;P/&amp;N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1"/>
  <sheetViews>
    <sheetView topLeftCell="A4" zoomScaleNormal="100" workbookViewId="0">
      <selection activeCell="H12" sqref="H12"/>
    </sheetView>
  </sheetViews>
  <sheetFormatPr defaultColWidth="9.140625" defaultRowHeight="15.75" x14ac:dyDescent="0.25"/>
  <cols>
    <col min="1" max="1" width="9.140625" style="30"/>
    <col min="2" max="2" width="50" style="30" customWidth="1"/>
    <col min="3" max="8" width="15.28515625" style="30" customWidth="1"/>
    <col min="9" max="1024" width="9.140625" style="114"/>
  </cols>
  <sheetData>
    <row r="1" spans="1:8" x14ac:dyDescent="0.25">
      <c r="A1" s="160" t="s">
        <v>0</v>
      </c>
      <c r="B1" s="160"/>
      <c r="C1" s="160"/>
      <c r="D1" s="160"/>
      <c r="E1" s="160"/>
      <c r="F1" s="160"/>
      <c r="G1" s="160"/>
      <c r="H1" s="160"/>
    </row>
    <row r="2" spans="1:8" x14ac:dyDescent="0.25">
      <c r="A2" s="160" t="s">
        <v>1</v>
      </c>
      <c r="B2" s="160"/>
      <c r="C2" s="160"/>
      <c r="D2" s="160"/>
      <c r="E2" s="160"/>
      <c r="F2" s="160"/>
      <c r="G2" s="160"/>
      <c r="H2" s="160"/>
    </row>
    <row r="3" spans="1:8" x14ac:dyDescent="0.25">
      <c r="A3" s="177" t="s">
        <v>2</v>
      </c>
      <c r="B3" s="177"/>
      <c r="C3" s="177"/>
      <c r="D3" s="177"/>
      <c r="E3" s="177"/>
      <c r="F3" s="177"/>
      <c r="G3" s="177"/>
      <c r="H3" s="177"/>
    </row>
    <row r="4" spans="1:8" x14ac:dyDescent="0.25">
      <c r="A4" s="31"/>
      <c r="B4" s="31"/>
      <c r="C4" s="31"/>
      <c r="D4" s="31"/>
      <c r="E4" s="31"/>
      <c r="F4" s="31"/>
      <c r="G4" s="31"/>
      <c r="H4" s="31"/>
    </row>
    <row r="5" spans="1:8" x14ac:dyDescent="0.25">
      <c r="A5" s="177" t="s">
        <v>3</v>
      </c>
      <c r="B5" s="177"/>
      <c r="C5" s="177"/>
      <c r="D5" s="177"/>
      <c r="E5" s="177"/>
      <c r="F5" s="177"/>
      <c r="G5" s="177"/>
      <c r="H5" s="177"/>
    </row>
    <row r="6" spans="1:8" x14ac:dyDescent="0.25">
      <c r="A6" s="31"/>
      <c r="B6" s="31"/>
      <c r="C6" s="31"/>
      <c r="D6" s="31"/>
      <c r="E6" s="31"/>
      <c r="F6" s="31"/>
      <c r="G6" s="31"/>
      <c r="H6" s="31"/>
    </row>
    <row r="7" spans="1:8" x14ac:dyDescent="0.25">
      <c r="A7" s="165" t="s">
        <v>217</v>
      </c>
      <c r="B7" s="165"/>
      <c r="C7" s="165"/>
      <c r="D7" s="165"/>
      <c r="E7" s="165"/>
      <c r="F7" s="165"/>
      <c r="G7" s="165"/>
      <c r="H7" s="165"/>
    </row>
    <row r="9" spans="1:8" ht="63" x14ac:dyDescent="0.25">
      <c r="A9" s="36" t="s">
        <v>183</v>
      </c>
      <c r="B9" s="36" t="s">
        <v>184</v>
      </c>
      <c r="C9" s="102" t="s">
        <v>185</v>
      </c>
      <c r="D9" s="102" t="s">
        <v>218</v>
      </c>
      <c r="E9" s="36" t="s">
        <v>187</v>
      </c>
      <c r="F9" s="36" t="s">
        <v>188</v>
      </c>
      <c r="G9" s="36" t="s">
        <v>189</v>
      </c>
      <c r="H9" s="36" t="s">
        <v>190</v>
      </c>
    </row>
    <row r="10" spans="1:8" ht="129.75" x14ac:dyDescent="0.25">
      <c r="A10" s="37">
        <v>1</v>
      </c>
      <c r="B10" s="115" t="s">
        <v>219</v>
      </c>
      <c r="C10" s="104">
        <v>4</v>
      </c>
      <c r="D10" s="104">
        <v>2</v>
      </c>
      <c r="E10" s="104">
        <f>C10*D10</f>
        <v>8</v>
      </c>
      <c r="F10" s="105">
        <v>8.4700000000000006</v>
      </c>
      <c r="G10" s="106">
        <f>E10*F10</f>
        <v>67.760000000000005</v>
      </c>
      <c r="H10" s="107">
        <f>G10/12</f>
        <v>5.6466666666666674</v>
      </c>
    </row>
    <row r="11" spans="1:8" ht="15.75" customHeight="1" x14ac:dyDescent="0.25">
      <c r="A11" s="193" t="s">
        <v>209</v>
      </c>
      <c r="B11" s="193"/>
      <c r="C11" s="193"/>
      <c r="D11" s="193"/>
      <c r="E11" s="193"/>
      <c r="F11" s="193"/>
      <c r="G11" s="193"/>
      <c r="H11" s="39">
        <f>SUM(H10:H10)</f>
        <v>5.6466666666666674</v>
      </c>
    </row>
    <row r="12" spans="1:8" ht="15.75" customHeight="1" x14ac:dyDescent="0.25">
      <c r="A12" s="193" t="s">
        <v>220</v>
      </c>
      <c r="B12" s="193"/>
      <c r="C12" s="193"/>
      <c r="D12" s="193"/>
      <c r="E12" s="193"/>
      <c r="F12" s="193"/>
      <c r="G12" s="193"/>
      <c r="H12" s="110">
        <f>Resumo!F16</f>
        <v>13</v>
      </c>
    </row>
    <row r="13" spans="1:8" ht="15.75" customHeight="1" x14ac:dyDescent="0.25">
      <c r="A13" s="194" t="s">
        <v>221</v>
      </c>
      <c r="B13" s="194"/>
      <c r="C13" s="194"/>
      <c r="D13" s="194"/>
      <c r="E13" s="194"/>
      <c r="F13" s="194"/>
      <c r="G13" s="194"/>
      <c r="H13" s="111">
        <f>H11*H12</f>
        <v>73.40666666666668</v>
      </c>
    </row>
    <row r="14" spans="1:8" x14ac:dyDescent="0.25">
      <c r="A14" s="30" t="s">
        <v>210</v>
      </c>
    </row>
    <row r="16" spans="1:8" ht="22.5" customHeight="1" x14ac:dyDescent="0.25">
      <c r="C16" s="197" t="s">
        <v>159</v>
      </c>
      <c r="D16" s="197"/>
      <c r="E16" s="197"/>
      <c r="F16" s="198" t="s">
        <v>160</v>
      </c>
      <c r="G16" s="198"/>
      <c r="H16" s="198"/>
    </row>
    <row r="17" spans="3:8" x14ac:dyDescent="0.25">
      <c r="C17" s="116" t="s">
        <v>161</v>
      </c>
      <c r="D17" s="117">
        <v>0.06</v>
      </c>
      <c r="E17" s="118">
        <f>H13*D17</f>
        <v>4.4044000000000008</v>
      </c>
      <c r="F17" s="119" t="s">
        <v>162</v>
      </c>
      <c r="G17" s="120">
        <v>0.05</v>
      </c>
      <c r="H17" s="121">
        <f>E20*G17</f>
        <v>4.7468971066009251</v>
      </c>
    </row>
    <row r="18" spans="3:8" x14ac:dyDescent="0.25">
      <c r="C18" s="116" t="s">
        <v>118</v>
      </c>
      <c r="D18" s="117">
        <v>6.7900000000000002E-2</v>
      </c>
      <c r="E18" s="118">
        <f>H13*D18</f>
        <v>4.9843126666666677</v>
      </c>
      <c r="F18" s="119" t="s">
        <v>163</v>
      </c>
      <c r="G18" s="120">
        <v>6.4999999999999997E-3</v>
      </c>
      <c r="H18" s="121">
        <f>E20*G18</f>
        <v>0.61709662385812025</v>
      </c>
    </row>
    <row r="19" spans="3:8" x14ac:dyDescent="0.25">
      <c r="C19" s="122" t="s">
        <v>164</v>
      </c>
      <c r="D19" s="123">
        <f>SUM(D17:D18)</f>
        <v>0.12790000000000001</v>
      </c>
      <c r="E19" s="124">
        <f>SUM(E17:E18)</f>
        <v>9.3887126666666685</v>
      </c>
      <c r="F19" s="119" t="s">
        <v>165</v>
      </c>
      <c r="G19" s="120">
        <v>0.03</v>
      </c>
      <c r="H19" s="121">
        <f>E20*G19</f>
        <v>2.8481382639605552</v>
      </c>
    </row>
    <row r="20" spans="3:8" ht="15.75" customHeight="1" x14ac:dyDescent="0.25">
      <c r="C20" s="196" t="s">
        <v>166</v>
      </c>
      <c r="D20" s="196"/>
      <c r="E20" s="125">
        <f>(E19+H13)/(1-D19)</f>
        <v>94.937942132018506</v>
      </c>
      <c r="F20" s="126" t="s">
        <v>167</v>
      </c>
      <c r="G20" s="127">
        <f>SUM(G17:G19)</f>
        <v>8.6499999999999994E-2</v>
      </c>
      <c r="H20" s="128">
        <f>SUM(H17:H19)</f>
        <v>8.2121319944196003</v>
      </c>
    </row>
    <row r="21" spans="3:8" x14ac:dyDescent="0.25">
      <c r="C21" s="189" t="s">
        <v>222</v>
      </c>
      <c r="D21" s="189"/>
      <c r="E21" s="189"/>
      <c r="F21" s="189"/>
      <c r="G21" s="189"/>
      <c r="H21" s="98">
        <f>TRUNC(SUM(H13,E19,H20),2)</f>
        <v>91</v>
      </c>
    </row>
  </sheetData>
  <mergeCells count="12">
    <mergeCell ref="A1:H1"/>
    <mergeCell ref="A2:H2"/>
    <mergeCell ref="A3:H3"/>
    <mergeCell ref="A5:H5"/>
    <mergeCell ref="A7:H7"/>
    <mergeCell ref="C20:D20"/>
    <mergeCell ref="C21:G21"/>
    <mergeCell ref="A11:G11"/>
    <mergeCell ref="A12:G12"/>
    <mergeCell ref="A13:G13"/>
    <mergeCell ref="C16:E16"/>
    <mergeCell ref="F16:H16"/>
  </mergeCells>
  <pageMargins left="0.51180555555555596" right="0.51180555555555596" top="0.78749999999999998" bottom="0.78749999999999998" header="0.31527777777777799" footer="0.511811023622047"/>
  <pageSetup paperSize="9" scale="61" fitToHeight="0" orientation="portrait" horizontalDpi="300" verticalDpi="300" r:id="rId1"/>
  <headerFooter>
    <oddHeader>&amp;C&amp;F - &amp;A - Pág. &amp;P/&amp;N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53"/>
  <sheetViews>
    <sheetView topLeftCell="A34" zoomScale="90" zoomScaleNormal="90" workbookViewId="0">
      <selection activeCell="I44" sqref="I44"/>
    </sheetView>
  </sheetViews>
  <sheetFormatPr defaultColWidth="9.140625" defaultRowHeight="15.75" x14ac:dyDescent="0.25"/>
  <cols>
    <col min="1" max="9" width="14.85546875" style="55" customWidth="1"/>
    <col min="10" max="10" width="12.7109375" style="55" customWidth="1"/>
    <col min="11" max="11" width="15.140625" style="55" customWidth="1"/>
    <col min="12" max="1023" width="9.140625" style="55"/>
    <col min="1024" max="1024" width="9.140625" style="114"/>
  </cols>
  <sheetData>
    <row r="1" spans="1:9" x14ac:dyDescent="0.25">
      <c r="A1" s="202" t="s">
        <v>0</v>
      </c>
      <c r="B1" s="202"/>
      <c r="C1" s="202"/>
      <c r="D1" s="202"/>
      <c r="E1" s="202"/>
      <c r="F1" s="202"/>
      <c r="G1" s="202"/>
      <c r="H1" s="202"/>
      <c r="I1" s="202"/>
    </row>
    <row r="2" spans="1:9" x14ac:dyDescent="0.25">
      <c r="A2" s="202" t="s">
        <v>1</v>
      </c>
      <c r="B2" s="202"/>
      <c r="C2" s="202"/>
      <c r="D2" s="202"/>
      <c r="E2" s="202"/>
      <c r="F2" s="202"/>
      <c r="G2" s="202"/>
      <c r="H2" s="202"/>
      <c r="I2" s="202"/>
    </row>
    <row r="3" spans="1:9" x14ac:dyDescent="0.25">
      <c r="A3" s="203" t="s">
        <v>2</v>
      </c>
      <c r="B3" s="203"/>
      <c r="C3" s="203"/>
      <c r="D3" s="203"/>
      <c r="E3" s="203"/>
      <c r="F3" s="203"/>
      <c r="G3" s="203"/>
      <c r="H3" s="203"/>
      <c r="I3" s="203"/>
    </row>
    <row r="4" spans="1:9" x14ac:dyDescent="0.25">
      <c r="A4" s="129"/>
      <c r="B4" s="129"/>
      <c r="C4" s="129"/>
      <c r="D4" s="129"/>
      <c r="E4" s="129"/>
      <c r="F4" s="129"/>
      <c r="G4" s="129"/>
      <c r="H4" s="129"/>
      <c r="I4" s="129"/>
    </row>
    <row r="5" spans="1:9" x14ac:dyDescent="0.25">
      <c r="A5" s="203" t="s">
        <v>3</v>
      </c>
      <c r="B5" s="203"/>
      <c r="C5" s="203"/>
      <c r="D5" s="203"/>
      <c r="E5" s="203"/>
      <c r="F5" s="203"/>
      <c r="G5" s="203"/>
      <c r="H5" s="203"/>
      <c r="I5" s="203"/>
    </row>
    <row r="7" spans="1:9" x14ac:dyDescent="0.25">
      <c r="A7" s="165" t="s">
        <v>223</v>
      </c>
      <c r="B7" s="165"/>
      <c r="C7" s="165"/>
      <c r="D7" s="165"/>
      <c r="E7" s="165"/>
      <c r="F7" s="165"/>
      <c r="G7" s="165"/>
      <c r="H7" s="165"/>
      <c r="I7" s="165"/>
    </row>
    <row r="9" spans="1:9" ht="31.5" customHeight="1" x14ac:dyDescent="0.25">
      <c r="A9" s="36" t="s">
        <v>183</v>
      </c>
      <c r="B9" s="164" t="s">
        <v>184</v>
      </c>
      <c r="C9" s="164"/>
      <c r="D9" s="164"/>
      <c r="E9" s="164"/>
      <c r="F9" s="164"/>
      <c r="G9" s="102" t="s">
        <v>224</v>
      </c>
      <c r="H9" s="36" t="s">
        <v>188</v>
      </c>
      <c r="I9" s="102" t="s">
        <v>52</v>
      </c>
    </row>
    <row r="10" spans="1:9" ht="28.5" customHeight="1" x14ac:dyDescent="0.25">
      <c r="A10" s="37">
        <v>1</v>
      </c>
      <c r="B10" s="195" t="s">
        <v>225</v>
      </c>
      <c r="C10" s="195"/>
      <c r="D10" s="195"/>
      <c r="E10" s="195"/>
      <c r="F10" s="195"/>
      <c r="G10" s="104">
        <v>6</v>
      </c>
      <c r="H10" s="130">
        <v>42.15</v>
      </c>
      <c r="I10" s="131">
        <f t="shared" ref="I10:I43" si="0">G10*H10</f>
        <v>252.89999999999998</v>
      </c>
    </row>
    <row r="11" spans="1:9" ht="28.5" customHeight="1" x14ac:dyDescent="0.25">
      <c r="A11" s="37">
        <v>2</v>
      </c>
      <c r="B11" s="195" t="s">
        <v>226</v>
      </c>
      <c r="C11" s="195"/>
      <c r="D11" s="195"/>
      <c r="E11" s="195"/>
      <c r="F11" s="195"/>
      <c r="G11" s="104">
        <v>6</v>
      </c>
      <c r="H11" s="130">
        <v>42.146923076923102</v>
      </c>
      <c r="I11" s="131">
        <f t="shared" si="0"/>
        <v>252.88153846153861</v>
      </c>
    </row>
    <row r="12" spans="1:9" ht="28.5" customHeight="1" x14ac:dyDescent="0.25">
      <c r="A12" s="37">
        <v>3</v>
      </c>
      <c r="B12" s="195" t="s">
        <v>227</v>
      </c>
      <c r="C12" s="195"/>
      <c r="D12" s="195"/>
      <c r="E12" s="195"/>
      <c r="F12" s="195"/>
      <c r="G12" s="104">
        <v>6</v>
      </c>
      <c r="H12" s="130">
        <v>39.059047619047597</v>
      </c>
      <c r="I12" s="131">
        <f t="shared" si="0"/>
        <v>234.3542857142856</v>
      </c>
    </row>
    <row r="13" spans="1:9" ht="28.5" customHeight="1" x14ac:dyDescent="0.25">
      <c r="A13" s="37">
        <v>4</v>
      </c>
      <c r="B13" s="195" t="s">
        <v>228</v>
      </c>
      <c r="C13" s="195"/>
      <c r="D13" s="195"/>
      <c r="E13" s="195"/>
      <c r="F13" s="195"/>
      <c r="G13" s="104">
        <v>6</v>
      </c>
      <c r="H13" s="130">
        <v>32.756250000000001</v>
      </c>
      <c r="I13" s="131">
        <f t="shared" si="0"/>
        <v>196.53750000000002</v>
      </c>
    </row>
    <row r="14" spans="1:9" ht="28.5" customHeight="1" x14ac:dyDescent="0.25">
      <c r="A14" s="37">
        <v>5</v>
      </c>
      <c r="B14" s="195" t="s">
        <v>229</v>
      </c>
      <c r="C14" s="195"/>
      <c r="D14" s="195"/>
      <c r="E14" s="195"/>
      <c r="F14" s="195"/>
      <c r="G14" s="104">
        <v>6</v>
      </c>
      <c r="H14" s="130">
        <v>51.324444444444403</v>
      </c>
      <c r="I14" s="131">
        <f t="shared" si="0"/>
        <v>307.94666666666643</v>
      </c>
    </row>
    <row r="15" spans="1:9" ht="28.5" customHeight="1" x14ac:dyDescent="0.25">
      <c r="A15" s="37">
        <v>6</v>
      </c>
      <c r="B15" s="195" t="s">
        <v>230</v>
      </c>
      <c r="C15" s="195"/>
      <c r="D15" s="195"/>
      <c r="E15" s="195"/>
      <c r="F15" s="195"/>
      <c r="G15" s="104">
        <v>6</v>
      </c>
      <c r="H15" s="130">
        <v>53.918823529411803</v>
      </c>
      <c r="I15" s="131">
        <f t="shared" si="0"/>
        <v>323.5129411764708</v>
      </c>
    </row>
    <row r="16" spans="1:9" ht="28.5" customHeight="1" x14ac:dyDescent="0.25">
      <c r="A16" s="37">
        <v>7</v>
      </c>
      <c r="B16" s="195" t="s">
        <v>231</v>
      </c>
      <c r="C16" s="195"/>
      <c r="D16" s="195"/>
      <c r="E16" s="195"/>
      <c r="F16" s="195"/>
      <c r="G16" s="104">
        <v>6</v>
      </c>
      <c r="H16" s="130">
        <v>6.7439999999999998</v>
      </c>
      <c r="I16" s="131">
        <f t="shared" si="0"/>
        <v>40.463999999999999</v>
      </c>
    </row>
    <row r="17" spans="1:9" ht="28.5" customHeight="1" x14ac:dyDescent="0.25">
      <c r="A17" s="37">
        <v>8</v>
      </c>
      <c r="B17" s="195" t="s">
        <v>232</v>
      </c>
      <c r="C17" s="195"/>
      <c r="D17" s="195"/>
      <c r="E17" s="195"/>
      <c r="F17" s="195"/>
      <c r="G17" s="104">
        <v>6</v>
      </c>
      <c r="H17" s="130">
        <v>6.4474999999999998</v>
      </c>
      <c r="I17" s="131">
        <f t="shared" si="0"/>
        <v>38.685000000000002</v>
      </c>
    </row>
    <row r="18" spans="1:9" ht="28.5" customHeight="1" x14ac:dyDescent="0.25">
      <c r="A18" s="37">
        <v>9</v>
      </c>
      <c r="B18" s="195" t="s">
        <v>233</v>
      </c>
      <c r="C18" s="195"/>
      <c r="D18" s="195"/>
      <c r="E18" s="195"/>
      <c r="F18" s="195"/>
      <c r="G18" s="104">
        <v>6</v>
      </c>
      <c r="H18" s="130">
        <v>14.0077777777778</v>
      </c>
      <c r="I18" s="131">
        <f t="shared" si="0"/>
        <v>84.046666666666795</v>
      </c>
    </row>
    <row r="19" spans="1:9" ht="28.5" customHeight="1" x14ac:dyDescent="0.25">
      <c r="A19" s="37">
        <v>10</v>
      </c>
      <c r="B19" s="195" t="s">
        <v>234</v>
      </c>
      <c r="C19" s="195"/>
      <c r="D19" s="195"/>
      <c r="E19" s="195"/>
      <c r="F19" s="195"/>
      <c r="G19" s="104">
        <v>6</v>
      </c>
      <c r="H19" s="130">
        <v>10.9333333333333</v>
      </c>
      <c r="I19" s="131">
        <f t="shared" si="0"/>
        <v>65.599999999999795</v>
      </c>
    </row>
    <row r="20" spans="1:9" ht="28.5" customHeight="1" x14ac:dyDescent="0.25">
      <c r="A20" s="37">
        <v>11</v>
      </c>
      <c r="B20" s="195" t="s">
        <v>235</v>
      </c>
      <c r="C20" s="195"/>
      <c r="D20" s="195"/>
      <c r="E20" s="195"/>
      <c r="F20" s="195"/>
      <c r="G20" s="104">
        <v>6</v>
      </c>
      <c r="H20" s="130">
        <v>7.3220000000000001</v>
      </c>
      <c r="I20" s="131">
        <f t="shared" si="0"/>
        <v>43.932000000000002</v>
      </c>
    </row>
    <row r="21" spans="1:9" ht="28.5" customHeight="1" x14ac:dyDescent="0.25">
      <c r="A21" s="37">
        <v>12</v>
      </c>
      <c r="B21" s="195" t="s">
        <v>236</v>
      </c>
      <c r="C21" s="195"/>
      <c r="D21" s="195"/>
      <c r="E21" s="195"/>
      <c r="F21" s="195"/>
      <c r="G21" s="104">
        <v>6</v>
      </c>
      <c r="H21" s="130">
        <v>10.02</v>
      </c>
      <c r="I21" s="131">
        <f t="shared" si="0"/>
        <v>60.12</v>
      </c>
    </row>
    <row r="22" spans="1:9" ht="28.5" customHeight="1" x14ac:dyDescent="0.25">
      <c r="A22" s="37">
        <v>13</v>
      </c>
      <c r="B22" s="195" t="s">
        <v>237</v>
      </c>
      <c r="C22" s="195"/>
      <c r="D22" s="195"/>
      <c r="E22" s="195"/>
      <c r="F22" s="195"/>
      <c r="G22" s="104">
        <v>6</v>
      </c>
      <c r="H22" s="130">
        <v>14.015000000000001</v>
      </c>
      <c r="I22" s="131">
        <f t="shared" si="0"/>
        <v>84.09</v>
      </c>
    </row>
    <row r="23" spans="1:9" ht="28.5" customHeight="1" x14ac:dyDescent="0.25">
      <c r="A23" s="37">
        <v>14</v>
      </c>
      <c r="B23" s="195" t="s">
        <v>238</v>
      </c>
      <c r="C23" s="195"/>
      <c r="D23" s="195"/>
      <c r="E23" s="195"/>
      <c r="F23" s="195"/>
      <c r="G23" s="104">
        <v>6</v>
      </c>
      <c r="H23" s="130">
        <v>12.27</v>
      </c>
      <c r="I23" s="131">
        <f t="shared" si="0"/>
        <v>73.62</v>
      </c>
    </row>
    <row r="24" spans="1:9" ht="28.5" customHeight="1" x14ac:dyDescent="0.25">
      <c r="A24" s="37">
        <v>15</v>
      </c>
      <c r="B24" s="195" t="s">
        <v>239</v>
      </c>
      <c r="C24" s="195"/>
      <c r="D24" s="195"/>
      <c r="E24" s="195"/>
      <c r="F24" s="195"/>
      <c r="G24" s="104">
        <v>6</v>
      </c>
      <c r="H24" s="130">
        <v>65.360769230769193</v>
      </c>
      <c r="I24" s="131">
        <f t="shared" si="0"/>
        <v>392.16461538461516</v>
      </c>
    </row>
    <row r="25" spans="1:9" ht="28.5" customHeight="1" x14ac:dyDescent="0.25">
      <c r="A25" s="37">
        <v>16</v>
      </c>
      <c r="B25" s="195" t="s">
        <v>240</v>
      </c>
      <c r="C25" s="195"/>
      <c r="D25" s="195"/>
      <c r="E25" s="195"/>
      <c r="F25" s="195"/>
      <c r="G25" s="104">
        <v>6</v>
      </c>
      <c r="H25" s="130">
        <v>23.02</v>
      </c>
      <c r="I25" s="131">
        <f t="shared" si="0"/>
        <v>138.12</v>
      </c>
    </row>
    <row r="26" spans="1:9" ht="28.5" customHeight="1" x14ac:dyDescent="0.25">
      <c r="A26" s="37">
        <v>17</v>
      </c>
      <c r="B26" s="195" t="s">
        <v>241</v>
      </c>
      <c r="C26" s="195"/>
      <c r="D26" s="195"/>
      <c r="E26" s="195"/>
      <c r="F26" s="195"/>
      <c r="G26" s="104">
        <v>6</v>
      </c>
      <c r="H26" s="130">
        <v>20.366666666666699</v>
      </c>
      <c r="I26" s="131">
        <f t="shared" si="0"/>
        <v>122.20000000000019</v>
      </c>
    </row>
    <row r="27" spans="1:9" ht="28.5" customHeight="1" x14ac:dyDescent="0.25">
      <c r="A27" s="37">
        <v>18</v>
      </c>
      <c r="B27" s="195" t="s">
        <v>242</v>
      </c>
      <c r="C27" s="195"/>
      <c r="D27" s="195"/>
      <c r="E27" s="195"/>
      <c r="F27" s="195"/>
      <c r="G27" s="104">
        <v>6</v>
      </c>
      <c r="H27" s="130">
        <v>50.432499999999997</v>
      </c>
      <c r="I27" s="131">
        <f t="shared" si="0"/>
        <v>302.59499999999997</v>
      </c>
    </row>
    <row r="28" spans="1:9" ht="28.5" customHeight="1" x14ac:dyDescent="0.25">
      <c r="A28" s="37">
        <v>19</v>
      </c>
      <c r="B28" s="195" t="s">
        <v>243</v>
      </c>
      <c r="C28" s="195"/>
      <c r="D28" s="195"/>
      <c r="E28" s="195"/>
      <c r="F28" s="195"/>
      <c r="G28" s="104">
        <v>6</v>
      </c>
      <c r="H28" s="130">
        <v>6.2064705882352902</v>
      </c>
      <c r="I28" s="131">
        <f t="shared" si="0"/>
        <v>37.238823529411739</v>
      </c>
    </row>
    <row r="29" spans="1:9" ht="28.5" customHeight="1" x14ac:dyDescent="0.25">
      <c r="A29" s="37">
        <v>20</v>
      </c>
      <c r="B29" s="195" t="s">
        <v>244</v>
      </c>
      <c r="C29" s="195"/>
      <c r="D29" s="195"/>
      <c r="E29" s="195"/>
      <c r="F29" s="195"/>
      <c r="G29" s="104">
        <v>6</v>
      </c>
      <c r="H29" s="130">
        <v>31.435263157894699</v>
      </c>
      <c r="I29" s="131">
        <f t="shared" si="0"/>
        <v>188.6115789473682</v>
      </c>
    </row>
    <row r="30" spans="1:9" ht="28.5" customHeight="1" x14ac:dyDescent="0.25">
      <c r="A30" s="37">
        <v>21</v>
      </c>
      <c r="B30" s="195" t="s">
        <v>245</v>
      </c>
      <c r="C30" s="195"/>
      <c r="D30" s="195"/>
      <c r="E30" s="195"/>
      <c r="F30" s="195"/>
      <c r="G30" s="104">
        <v>6</v>
      </c>
      <c r="H30" s="130">
        <v>51.363333333333301</v>
      </c>
      <c r="I30" s="131">
        <f t="shared" si="0"/>
        <v>308.17999999999984</v>
      </c>
    </row>
    <row r="31" spans="1:9" ht="28.5" customHeight="1" x14ac:dyDescent="0.25">
      <c r="A31" s="37">
        <v>22</v>
      </c>
      <c r="B31" s="195" t="s">
        <v>246</v>
      </c>
      <c r="C31" s="195"/>
      <c r="D31" s="195"/>
      <c r="E31" s="195"/>
      <c r="F31" s="195"/>
      <c r="G31" s="104">
        <v>6</v>
      </c>
      <c r="H31" s="130">
        <v>26.6228571428571</v>
      </c>
      <c r="I31" s="131">
        <f t="shared" si="0"/>
        <v>159.7371428571426</v>
      </c>
    </row>
    <row r="32" spans="1:9" ht="28.5" customHeight="1" x14ac:dyDescent="0.25">
      <c r="A32" s="37">
        <v>23</v>
      </c>
      <c r="B32" s="195" t="s">
        <v>247</v>
      </c>
      <c r="C32" s="195"/>
      <c r="D32" s="195"/>
      <c r="E32" s="195"/>
      <c r="F32" s="195"/>
      <c r="G32" s="104">
        <v>6</v>
      </c>
      <c r="H32" s="130">
        <v>9.0779999999999994</v>
      </c>
      <c r="I32" s="131">
        <f t="shared" si="0"/>
        <v>54.467999999999996</v>
      </c>
    </row>
    <row r="33" spans="1:1024" ht="28.5" customHeight="1" x14ac:dyDescent="0.25">
      <c r="A33" s="37">
        <v>24</v>
      </c>
      <c r="B33" s="195" t="s">
        <v>248</v>
      </c>
      <c r="C33" s="195"/>
      <c r="D33" s="195"/>
      <c r="E33" s="195"/>
      <c r="F33" s="195"/>
      <c r="G33" s="104">
        <v>6</v>
      </c>
      <c r="H33" s="130">
        <v>25.801428571428598</v>
      </c>
      <c r="I33" s="131">
        <f t="shared" si="0"/>
        <v>154.80857142857158</v>
      </c>
    </row>
    <row r="34" spans="1:1024" ht="28.5" customHeight="1" x14ac:dyDescent="0.25">
      <c r="A34" s="37">
        <v>25</v>
      </c>
      <c r="B34" s="195" t="s">
        <v>249</v>
      </c>
      <c r="C34" s="195"/>
      <c r="D34" s="195"/>
      <c r="E34" s="195"/>
      <c r="F34" s="195"/>
      <c r="G34" s="104">
        <v>6</v>
      </c>
      <c r="H34" s="130">
        <v>23.926666666666701</v>
      </c>
      <c r="I34" s="131">
        <f t="shared" si="0"/>
        <v>143.5600000000002</v>
      </c>
    </row>
    <row r="35" spans="1:1024" ht="28.5" customHeight="1" x14ac:dyDescent="0.25">
      <c r="A35" s="37">
        <v>26</v>
      </c>
      <c r="B35" s="195" t="s">
        <v>250</v>
      </c>
      <c r="C35" s="195"/>
      <c r="D35" s="195"/>
      <c r="E35" s="195"/>
      <c r="F35" s="195"/>
      <c r="G35" s="104">
        <v>6</v>
      </c>
      <c r="H35" s="130">
        <v>37.869999999999997</v>
      </c>
      <c r="I35" s="131">
        <f t="shared" si="0"/>
        <v>227.21999999999997</v>
      </c>
    </row>
    <row r="36" spans="1:1024" ht="28.5" customHeight="1" x14ac:dyDescent="0.25">
      <c r="A36" s="37">
        <v>27</v>
      </c>
      <c r="B36" s="195" t="s">
        <v>251</v>
      </c>
      <c r="C36" s="195"/>
      <c r="D36" s="195"/>
      <c r="E36" s="195"/>
      <c r="F36" s="195"/>
      <c r="G36" s="104">
        <v>6</v>
      </c>
      <c r="H36" s="130">
        <v>23.57</v>
      </c>
      <c r="I36" s="131">
        <f t="shared" si="0"/>
        <v>141.42000000000002</v>
      </c>
    </row>
    <row r="37" spans="1:1024" ht="28.5" customHeight="1" x14ac:dyDescent="0.25">
      <c r="A37" s="32">
        <v>28</v>
      </c>
      <c r="B37" s="201" t="s">
        <v>252</v>
      </c>
      <c r="C37" s="201"/>
      <c r="D37" s="201"/>
      <c r="E37" s="201"/>
      <c r="F37" s="201"/>
      <c r="G37" s="132">
        <v>6</v>
      </c>
      <c r="H37" s="133">
        <v>23.647857142857099</v>
      </c>
      <c r="I37" s="134">
        <f t="shared" si="0"/>
        <v>141.88714285714258</v>
      </c>
    </row>
    <row r="38" spans="1:1024" ht="28.5" customHeight="1" x14ac:dyDescent="0.25">
      <c r="A38" s="32">
        <v>29</v>
      </c>
      <c r="B38" s="201" t="s">
        <v>253</v>
      </c>
      <c r="C38" s="201"/>
      <c r="D38" s="201"/>
      <c r="E38" s="201"/>
      <c r="F38" s="201"/>
      <c r="G38" s="132">
        <v>6</v>
      </c>
      <c r="H38" s="133">
        <v>150.09062499999999</v>
      </c>
      <c r="I38" s="134">
        <f t="shared" si="0"/>
        <v>900.54374999999993</v>
      </c>
    </row>
    <row r="39" spans="1:1024" ht="28.5" customHeight="1" x14ac:dyDescent="0.25">
      <c r="A39" s="32">
        <v>30</v>
      </c>
      <c r="B39" s="201" t="s">
        <v>254</v>
      </c>
      <c r="C39" s="201"/>
      <c r="D39" s="201"/>
      <c r="E39" s="201"/>
      <c r="F39" s="201"/>
      <c r="G39" s="132">
        <v>6</v>
      </c>
      <c r="H39" s="133">
        <v>49.940476190476197</v>
      </c>
      <c r="I39" s="134">
        <f t="shared" si="0"/>
        <v>299.64285714285717</v>
      </c>
    </row>
    <row r="40" spans="1:1024" ht="28.5" customHeight="1" x14ac:dyDescent="0.25">
      <c r="A40" s="32">
        <v>31</v>
      </c>
      <c r="B40" s="201" t="s">
        <v>255</v>
      </c>
      <c r="C40" s="201"/>
      <c r="D40" s="201"/>
      <c r="E40" s="201"/>
      <c r="F40" s="201"/>
      <c r="G40" s="132">
        <v>6</v>
      </c>
      <c r="H40" s="133">
        <v>31.89</v>
      </c>
      <c r="I40" s="134">
        <f t="shared" si="0"/>
        <v>191.34</v>
      </c>
    </row>
    <row r="41" spans="1:1024" ht="28.5" customHeight="1" x14ac:dyDescent="0.25">
      <c r="A41" s="32">
        <v>32</v>
      </c>
      <c r="B41" s="201" t="s">
        <v>256</v>
      </c>
      <c r="C41" s="201"/>
      <c r="D41" s="201"/>
      <c r="E41" s="201"/>
      <c r="F41" s="201"/>
      <c r="G41" s="132">
        <v>6</v>
      </c>
      <c r="H41" s="133">
        <v>228.256666666667</v>
      </c>
      <c r="I41" s="134">
        <f t="shared" si="0"/>
        <v>1369.540000000002</v>
      </c>
    </row>
    <row r="42" spans="1:1024" ht="28.5" customHeight="1" x14ac:dyDescent="0.25">
      <c r="A42" s="32">
        <v>33</v>
      </c>
      <c r="B42" s="201" t="s">
        <v>257</v>
      </c>
      <c r="C42" s="201"/>
      <c r="D42" s="201"/>
      <c r="E42" s="201"/>
      <c r="F42" s="201"/>
      <c r="G42" s="132">
        <v>6</v>
      </c>
      <c r="H42" s="133">
        <v>1293.1666666666699</v>
      </c>
      <c r="I42" s="134">
        <f t="shared" si="0"/>
        <v>7759.00000000002</v>
      </c>
    </row>
    <row r="43" spans="1:1024" ht="28.5" customHeight="1" x14ac:dyDescent="0.25">
      <c r="A43" s="32">
        <v>34</v>
      </c>
      <c r="B43" s="201" t="s">
        <v>258</v>
      </c>
      <c r="C43" s="201"/>
      <c r="D43" s="201"/>
      <c r="E43" s="201"/>
      <c r="F43" s="201"/>
      <c r="G43" s="32">
        <v>6</v>
      </c>
      <c r="H43" s="133">
        <v>107.09666666666701</v>
      </c>
      <c r="I43" s="134">
        <f t="shared" si="0"/>
        <v>642.58000000000197</v>
      </c>
      <c r="J43" s="135"/>
    </row>
    <row r="44" spans="1:1024" ht="22.5" customHeight="1" x14ac:dyDescent="0.25">
      <c r="A44" s="200" t="s">
        <v>52</v>
      </c>
      <c r="B44" s="200"/>
      <c r="C44" s="200"/>
      <c r="D44" s="200"/>
      <c r="E44" s="200"/>
      <c r="F44" s="200"/>
      <c r="G44" s="136">
        <f>SUM(G10:G43)</f>
        <v>204</v>
      </c>
      <c r="H44" s="136"/>
      <c r="I44" s="137">
        <f>SUM(I10:I43)</f>
        <v>15733.548080832759</v>
      </c>
      <c r="J44" s="135"/>
    </row>
    <row r="45" spans="1:1024" x14ac:dyDescent="0.25">
      <c r="A45" s="30" t="s">
        <v>210</v>
      </c>
      <c r="B45" s="44"/>
      <c r="C45" s="44"/>
      <c r="D45" s="44"/>
      <c r="E45" s="44"/>
      <c r="F45" s="44"/>
      <c r="G45" s="44"/>
      <c r="H45" s="44"/>
      <c r="I45" s="138"/>
      <c r="J45" s="135"/>
    </row>
    <row r="46" spans="1:1024" s="140" customFormat="1" x14ac:dyDescent="0.25">
      <c r="A46" s="44"/>
      <c r="B46" s="44"/>
      <c r="C46" s="44"/>
      <c r="D46" s="44"/>
      <c r="E46" s="44"/>
      <c r="F46" s="44"/>
      <c r="G46" s="44"/>
      <c r="H46" s="44"/>
      <c r="I46" s="138"/>
      <c r="J46" s="139"/>
      <c r="AMJ46" s="141"/>
    </row>
    <row r="47" spans="1:1024" ht="22.5" customHeight="1" x14ac:dyDescent="0.25">
      <c r="D47" s="197" t="s">
        <v>159</v>
      </c>
      <c r="E47" s="197"/>
      <c r="F47" s="197"/>
      <c r="G47" s="198" t="s">
        <v>160</v>
      </c>
      <c r="H47" s="198"/>
      <c r="I47" s="198"/>
    </row>
    <row r="48" spans="1:1024" x14ac:dyDescent="0.25">
      <c r="D48" s="116" t="s">
        <v>161</v>
      </c>
      <c r="E48" s="117">
        <v>0.06</v>
      </c>
      <c r="F48" s="142">
        <f>I44*E48</f>
        <v>944.01288484996553</v>
      </c>
      <c r="G48" s="143" t="s">
        <v>162</v>
      </c>
      <c r="H48" s="120">
        <v>0.05</v>
      </c>
      <c r="I48" s="121">
        <f>F51*H48</f>
        <v>1017.4216764345413</v>
      </c>
    </row>
    <row r="49" spans="4:9" x14ac:dyDescent="0.25">
      <c r="D49" s="116" t="s">
        <v>118</v>
      </c>
      <c r="E49" s="117">
        <v>6.7900000000000002E-2</v>
      </c>
      <c r="F49" s="142">
        <f>I44*E49</f>
        <v>1068.3079146885443</v>
      </c>
      <c r="G49" s="143" t="s">
        <v>163</v>
      </c>
      <c r="H49" s="120">
        <v>6.4999999999999997E-3</v>
      </c>
      <c r="I49" s="121">
        <f>F51*H49</f>
        <v>132.26481793649035</v>
      </c>
    </row>
    <row r="50" spans="4:9" x14ac:dyDescent="0.25">
      <c r="D50" s="122" t="s">
        <v>164</v>
      </c>
      <c r="E50" s="144">
        <f>SUM(E48:E49)</f>
        <v>0.12790000000000001</v>
      </c>
      <c r="F50" s="145">
        <f>SUM(F48:F49)</f>
        <v>2012.3207995385098</v>
      </c>
      <c r="G50" s="143" t="s">
        <v>165</v>
      </c>
      <c r="H50" s="120">
        <v>0.03</v>
      </c>
      <c r="I50" s="121">
        <f>F51*H50</f>
        <v>610.45300586072472</v>
      </c>
    </row>
    <row r="51" spans="4:9" ht="15.75" customHeight="1" x14ac:dyDescent="0.25">
      <c r="D51" s="196" t="s">
        <v>166</v>
      </c>
      <c r="E51" s="196"/>
      <c r="F51" s="125">
        <f>(F50+I44)/(1-E50)</f>
        <v>20348.433528690824</v>
      </c>
      <c r="G51" s="146" t="s">
        <v>167</v>
      </c>
      <c r="H51" s="127">
        <f>SUM(H48:H50)</f>
        <v>8.6499999999999994E-2</v>
      </c>
      <c r="I51" s="128">
        <f>SUM(I48:I50)</f>
        <v>1760.1395002317563</v>
      </c>
    </row>
    <row r="52" spans="4:9" x14ac:dyDescent="0.25">
      <c r="D52" s="189" t="s">
        <v>259</v>
      </c>
      <c r="E52" s="189"/>
      <c r="F52" s="189"/>
      <c r="G52" s="189"/>
      <c r="H52" s="189"/>
      <c r="I52" s="98">
        <f>SUM(I44,F50,I51)</f>
        <v>19506.008380603023</v>
      </c>
    </row>
    <row r="53" spans="4:9" x14ac:dyDescent="0.25">
      <c r="D53" s="199" t="s">
        <v>260</v>
      </c>
      <c r="E53" s="199"/>
      <c r="F53" s="199"/>
      <c r="G53" s="199"/>
      <c r="H53" s="199"/>
      <c r="I53" s="147">
        <f>TRUNC(I52/12,2)</f>
        <v>1625.5</v>
      </c>
    </row>
  </sheetData>
  <mergeCells count="46">
    <mergeCell ref="A1:I1"/>
    <mergeCell ref="A2:I2"/>
    <mergeCell ref="A3:I3"/>
    <mergeCell ref="A5:I5"/>
    <mergeCell ref="A7:I7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20:F20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2:F32"/>
    <mergeCell ref="B33:F33"/>
    <mergeCell ref="B34:F34"/>
    <mergeCell ref="B35:F35"/>
    <mergeCell ref="B36:F36"/>
    <mergeCell ref="B37:F37"/>
    <mergeCell ref="B38:F38"/>
    <mergeCell ref="B39:F39"/>
    <mergeCell ref="B40:F40"/>
    <mergeCell ref="B41:F41"/>
    <mergeCell ref="B42:F42"/>
    <mergeCell ref="B43:F43"/>
    <mergeCell ref="D53:H53"/>
    <mergeCell ref="A44:F44"/>
    <mergeCell ref="D47:F47"/>
    <mergeCell ref="G47:I47"/>
    <mergeCell ref="D51:E51"/>
    <mergeCell ref="D52:H52"/>
  </mergeCells>
  <pageMargins left="0.51180555555555596" right="0.51180555555555596" top="0.78749999999999998" bottom="0.78749999999999998" header="0.31527777777777799" footer="0.511811023622047"/>
  <pageSetup paperSize="9" scale="69" fitToHeight="0" orientation="portrait" horizontalDpi="300" verticalDpi="300" r:id="rId1"/>
  <headerFooter>
    <oddHeader>&amp;C&amp;F - &amp;A - Pág. &amp;P/&amp;N</oddHeader>
  </headerFooter>
  <rowBreaks count="1" manualBreakCount="1">
    <brk id="3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153"/>
  <sheetViews>
    <sheetView showGridLines="0" topLeftCell="A46" zoomScaleNormal="100" workbookViewId="0">
      <selection activeCell="D127" sqref="D127"/>
    </sheetView>
  </sheetViews>
  <sheetFormatPr defaultColWidth="9.140625" defaultRowHeight="15.75" x14ac:dyDescent="0.25"/>
  <cols>
    <col min="1" max="1" width="9.140625" style="30"/>
    <col min="2" max="2" width="73.42578125" style="30" customWidth="1"/>
    <col min="3" max="4" width="16.85546875" style="30" customWidth="1"/>
    <col min="5" max="5" width="12.7109375" style="30" customWidth="1"/>
    <col min="6" max="6" width="12" style="30" customWidth="1"/>
    <col min="7" max="7" width="15.140625" style="30" customWidth="1"/>
    <col min="8" max="1024" width="9.140625" style="30"/>
  </cols>
  <sheetData>
    <row r="1" spans="1:6" x14ac:dyDescent="0.25">
      <c r="A1" s="160" t="s">
        <v>0</v>
      </c>
      <c r="B1" s="160"/>
      <c r="C1" s="160"/>
      <c r="D1" s="160"/>
    </row>
    <row r="2" spans="1:6" x14ac:dyDescent="0.25">
      <c r="A2" s="160" t="s">
        <v>1</v>
      </c>
      <c r="B2" s="160"/>
      <c r="C2" s="160"/>
      <c r="D2" s="160"/>
    </row>
    <row r="3" spans="1:6" x14ac:dyDescent="0.25">
      <c r="A3" s="177" t="s">
        <v>2</v>
      </c>
      <c r="B3" s="177"/>
      <c r="C3" s="177"/>
      <c r="D3" s="177"/>
    </row>
    <row r="4" spans="1:6" x14ac:dyDescent="0.25">
      <c r="A4" s="31"/>
      <c r="B4" s="31"/>
      <c r="C4" s="31"/>
      <c r="D4" s="31"/>
    </row>
    <row r="5" spans="1:6" ht="24.75" customHeight="1" x14ac:dyDescent="0.25">
      <c r="A5" s="178" t="s">
        <v>3</v>
      </c>
      <c r="B5" s="178"/>
      <c r="C5" s="178"/>
      <c r="D5" s="178"/>
    </row>
    <row r="6" spans="1:6" x14ac:dyDescent="0.25">
      <c r="A6" s="31"/>
      <c r="B6" s="31"/>
      <c r="C6" s="31"/>
      <c r="D6" s="31"/>
    </row>
    <row r="7" spans="1:6" ht="15.75" customHeight="1" x14ac:dyDescent="0.25">
      <c r="A7" s="32" t="s">
        <v>23</v>
      </c>
      <c r="B7" s="33" t="s">
        <v>24</v>
      </c>
      <c r="C7" s="175"/>
      <c r="D7" s="175"/>
    </row>
    <row r="8" spans="1:6" x14ac:dyDescent="0.25">
      <c r="A8" s="32" t="s">
        <v>25</v>
      </c>
      <c r="B8" s="33" t="s">
        <v>26</v>
      </c>
      <c r="C8" s="175"/>
      <c r="D8" s="175"/>
    </row>
    <row r="9" spans="1:6" x14ac:dyDescent="0.25">
      <c r="A9" s="32" t="s">
        <v>27</v>
      </c>
      <c r="B9" s="33" t="s">
        <v>28</v>
      </c>
      <c r="C9" s="175"/>
      <c r="D9" s="175"/>
    </row>
    <row r="10" spans="1:6" x14ac:dyDescent="0.25">
      <c r="A10" s="32" t="s">
        <v>29</v>
      </c>
      <c r="B10" s="33" t="s">
        <v>30</v>
      </c>
      <c r="C10" s="175"/>
      <c r="D10" s="175"/>
    </row>
    <row r="11" spans="1:6" x14ac:dyDescent="0.25">
      <c r="A11" s="34"/>
      <c r="B11" s="35"/>
      <c r="C11" s="34"/>
      <c r="D11" s="34"/>
      <c r="E11" s="34"/>
      <c r="F11" s="34"/>
    </row>
    <row r="12" spans="1:6" ht="31.5" customHeight="1" x14ac:dyDescent="0.25">
      <c r="A12" s="34"/>
      <c r="B12" s="33" t="s">
        <v>31</v>
      </c>
      <c r="C12" s="175" t="s">
        <v>32</v>
      </c>
      <c r="D12" s="175"/>
      <c r="E12" s="34"/>
      <c r="F12" s="34"/>
    </row>
    <row r="13" spans="1:6" ht="15.75" customHeight="1" x14ac:dyDescent="0.25">
      <c r="A13" s="34"/>
      <c r="B13" s="33" t="s">
        <v>33</v>
      </c>
      <c r="C13" s="176" t="s">
        <v>34</v>
      </c>
      <c r="D13" s="176"/>
      <c r="E13" s="34"/>
      <c r="F13" s="34"/>
    </row>
    <row r="14" spans="1:6" ht="54" x14ac:dyDescent="0.25">
      <c r="A14" s="34"/>
      <c r="B14" s="33" t="s">
        <v>35</v>
      </c>
      <c r="C14" s="172">
        <v>1836.16</v>
      </c>
      <c r="D14" s="172"/>
      <c r="E14" s="34"/>
      <c r="F14" s="34"/>
    </row>
    <row r="15" spans="1:6" ht="15.75" customHeight="1" x14ac:dyDescent="0.25">
      <c r="A15" s="34"/>
      <c r="B15" s="33" t="s">
        <v>36</v>
      </c>
      <c r="C15" s="173" t="s">
        <v>37</v>
      </c>
      <c r="D15" s="173"/>
      <c r="E15" s="34"/>
      <c r="F15" s="34"/>
    </row>
    <row r="16" spans="1:6" x14ac:dyDescent="0.25">
      <c r="A16" s="34"/>
      <c r="B16" s="33" t="s">
        <v>38</v>
      </c>
      <c r="C16" s="174">
        <v>44593</v>
      </c>
      <c r="D16" s="174"/>
      <c r="E16" s="34"/>
      <c r="F16" s="34"/>
    </row>
    <row r="17" spans="1:6" ht="15.75" customHeight="1" x14ac:dyDescent="0.25">
      <c r="A17" s="34"/>
      <c r="B17" s="33" t="s">
        <v>39</v>
      </c>
      <c r="C17" s="175" t="s">
        <v>10</v>
      </c>
      <c r="D17" s="175"/>
      <c r="E17" s="34"/>
      <c r="F17" s="34"/>
    </row>
    <row r="18" spans="1:6" x14ac:dyDescent="0.25">
      <c r="A18" s="34"/>
      <c r="B18" s="33" t="s">
        <v>40</v>
      </c>
      <c r="C18" s="175">
        <v>1</v>
      </c>
      <c r="D18" s="175"/>
      <c r="E18" s="34"/>
      <c r="F18" s="34"/>
    </row>
    <row r="20" spans="1:6" x14ac:dyDescent="0.25">
      <c r="A20" s="165" t="s">
        <v>41</v>
      </c>
      <c r="B20" s="165"/>
      <c r="C20" s="165"/>
      <c r="D20" s="165"/>
    </row>
    <row r="22" spans="1:6" ht="15.75" customHeight="1" x14ac:dyDescent="0.25">
      <c r="A22" s="36">
        <v>1</v>
      </c>
      <c r="B22" s="164" t="s">
        <v>42</v>
      </c>
      <c r="C22" s="164"/>
      <c r="D22" s="36" t="s">
        <v>43</v>
      </c>
    </row>
    <row r="23" spans="1:6" ht="15.75" customHeight="1" x14ac:dyDescent="0.25">
      <c r="A23" s="37" t="s">
        <v>23</v>
      </c>
      <c r="B23" s="163" t="s">
        <v>44</v>
      </c>
      <c r="C23" s="163"/>
      <c r="D23" s="39">
        <f>C14</f>
        <v>1836.16</v>
      </c>
    </row>
    <row r="24" spans="1:6" ht="15.75" customHeight="1" x14ac:dyDescent="0.25">
      <c r="A24" s="37" t="s">
        <v>25</v>
      </c>
      <c r="B24" s="163" t="s">
        <v>45</v>
      </c>
      <c r="C24" s="163"/>
      <c r="D24" s="39">
        <v>0</v>
      </c>
    </row>
    <row r="25" spans="1:6" ht="15.75" customHeight="1" x14ac:dyDescent="0.25">
      <c r="A25" s="37" t="s">
        <v>27</v>
      </c>
      <c r="B25" s="163" t="s">
        <v>46</v>
      </c>
      <c r="C25" s="163"/>
      <c r="D25" s="39">
        <v>0</v>
      </c>
    </row>
    <row r="26" spans="1:6" ht="15.75" customHeight="1" x14ac:dyDescent="0.25">
      <c r="A26" s="37" t="s">
        <v>29</v>
      </c>
      <c r="B26" s="163" t="s">
        <v>47</v>
      </c>
      <c r="C26" s="163"/>
      <c r="D26" s="39">
        <v>0</v>
      </c>
    </row>
    <row r="27" spans="1:6" ht="15.75" customHeight="1" x14ac:dyDescent="0.25">
      <c r="A27" s="37" t="s">
        <v>48</v>
      </c>
      <c r="B27" s="163" t="s">
        <v>49</v>
      </c>
      <c r="C27" s="163"/>
      <c r="D27" s="39">
        <v>0</v>
      </c>
    </row>
    <row r="28" spans="1:6" ht="15.75" customHeight="1" x14ac:dyDescent="0.25">
      <c r="A28" s="37" t="s">
        <v>50</v>
      </c>
      <c r="B28" s="163" t="s">
        <v>51</v>
      </c>
      <c r="C28" s="163"/>
      <c r="D28" s="39">
        <v>0</v>
      </c>
    </row>
    <row r="29" spans="1:6" ht="15.75" customHeight="1" x14ac:dyDescent="0.25">
      <c r="A29" s="164" t="s">
        <v>52</v>
      </c>
      <c r="B29" s="164"/>
      <c r="C29" s="164"/>
      <c r="D29" s="40">
        <f>SUM(D23:D28)</f>
        <v>1836.16</v>
      </c>
      <c r="E29" s="41"/>
    </row>
    <row r="32" spans="1:6" x14ac:dyDescent="0.25">
      <c r="A32" s="165" t="s">
        <v>53</v>
      </c>
      <c r="B32" s="165"/>
      <c r="C32" s="165"/>
      <c r="D32" s="165"/>
    </row>
    <row r="33" spans="1:6" x14ac:dyDescent="0.25">
      <c r="A33" s="42"/>
    </row>
    <row r="34" spans="1:6" x14ac:dyDescent="0.25">
      <c r="A34" s="166" t="s">
        <v>54</v>
      </c>
      <c r="B34" s="166"/>
      <c r="C34" s="166"/>
      <c r="D34" s="166"/>
    </row>
    <row r="36" spans="1:6" ht="15.75" customHeight="1" x14ac:dyDescent="0.25">
      <c r="A36" s="148" t="s">
        <v>55</v>
      </c>
      <c r="B36" s="170" t="s">
        <v>262</v>
      </c>
      <c r="C36" s="170"/>
      <c r="D36" s="148" t="s">
        <v>43</v>
      </c>
    </row>
    <row r="37" spans="1:6" ht="15.75" customHeight="1" x14ac:dyDescent="0.25">
      <c r="A37" s="149" t="s">
        <v>23</v>
      </c>
      <c r="B37" s="171" t="s">
        <v>57</v>
      </c>
      <c r="C37" s="171"/>
      <c r="D37" s="150">
        <f>D29/12</f>
        <v>153.01333333333335</v>
      </c>
    </row>
    <row r="38" spans="1:6" ht="15.75" customHeight="1" x14ac:dyDescent="0.25">
      <c r="A38" s="149" t="s">
        <v>25</v>
      </c>
      <c r="B38" s="171" t="s">
        <v>261</v>
      </c>
      <c r="C38" s="171"/>
      <c r="D38" s="150">
        <f>((D29/3)/12)</f>
        <v>51.004444444444452</v>
      </c>
    </row>
    <row r="39" spans="1:6" ht="15.75" customHeight="1" x14ac:dyDescent="0.25">
      <c r="A39" s="170" t="s">
        <v>52</v>
      </c>
      <c r="B39" s="170"/>
      <c r="C39" s="170"/>
      <c r="D39" s="151">
        <f>SUM(D37:D38)</f>
        <v>204.01777777777781</v>
      </c>
      <c r="F39" s="43"/>
    </row>
    <row r="40" spans="1:6" ht="15.75" customHeight="1" x14ac:dyDescent="0.25">
      <c r="A40" s="44"/>
      <c r="B40" s="44"/>
      <c r="C40" s="44"/>
      <c r="D40" s="45"/>
      <c r="F40" s="43"/>
    </row>
    <row r="41" spans="1:6" ht="15.75" customHeight="1" x14ac:dyDescent="0.25">
      <c r="F41" s="43"/>
    </row>
    <row r="42" spans="1:6" x14ac:dyDescent="0.25">
      <c r="A42" s="168" t="s">
        <v>58</v>
      </c>
      <c r="B42" s="168"/>
      <c r="C42" s="168"/>
      <c r="D42" s="40">
        <f>D29+D39</f>
        <v>2040.1777777777779</v>
      </c>
    </row>
    <row r="44" spans="1:6" ht="15.75" customHeight="1" x14ac:dyDescent="0.25">
      <c r="A44" s="169" t="s">
        <v>59</v>
      </c>
      <c r="B44" s="169"/>
      <c r="C44" s="169"/>
      <c r="D44" s="169"/>
    </row>
    <row r="46" spans="1:6" x14ac:dyDescent="0.25">
      <c r="A46" s="36" t="s">
        <v>60</v>
      </c>
      <c r="B46" s="36" t="s">
        <v>61</v>
      </c>
      <c r="C46" s="36" t="s">
        <v>62</v>
      </c>
      <c r="D46" s="36" t="s">
        <v>43</v>
      </c>
    </row>
    <row r="47" spans="1:6" x14ac:dyDescent="0.25">
      <c r="A47" s="37" t="s">
        <v>23</v>
      </c>
      <c r="B47" s="46" t="s">
        <v>63</v>
      </c>
      <c r="C47" s="47">
        <v>0.2</v>
      </c>
      <c r="D47" s="48">
        <f>C47*D42</f>
        <v>408.03555555555562</v>
      </c>
    </row>
    <row r="48" spans="1:6" x14ac:dyDescent="0.25">
      <c r="A48" s="37" t="s">
        <v>25</v>
      </c>
      <c r="B48" s="46" t="s">
        <v>64</v>
      </c>
      <c r="C48" s="47">
        <v>2.5000000000000001E-2</v>
      </c>
      <c r="D48" s="48">
        <f>C48*D42</f>
        <v>51.004444444444452</v>
      </c>
    </row>
    <row r="49" spans="1:4" x14ac:dyDescent="0.25">
      <c r="A49" s="37" t="s">
        <v>27</v>
      </c>
      <c r="B49" s="46" t="s">
        <v>65</v>
      </c>
      <c r="C49" s="47">
        <f>3%*2</f>
        <v>0.06</v>
      </c>
      <c r="D49" s="48">
        <f>C49*D42</f>
        <v>122.41066666666667</v>
      </c>
    </row>
    <row r="50" spans="1:4" x14ac:dyDescent="0.25">
      <c r="A50" s="37" t="s">
        <v>29</v>
      </c>
      <c r="B50" s="46" t="s">
        <v>66</v>
      </c>
      <c r="C50" s="47">
        <v>1.4999999999999999E-2</v>
      </c>
      <c r="D50" s="48">
        <f>C50*D42</f>
        <v>30.602666666666668</v>
      </c>
    </row>
    <row r="51" spans="1:4" x14ac:dyDescent="0.25">
      <c r="A51" s="37" t="s">
        <v>48</v>
      </c>
      <c r="B51" s="46" t="s">
        <v>67</v>
      </c>
      <c r="C51" s="47">
        <v>0.01</v>
      </c>
      <c r="D51" s="48">
        <f>C51*D42</f>
        <v>20.401777777777781</v>
      </c>
    </row>
    <row r="52" spans="1:4" x14ac:dyDescent="0.25">
      <c r="A52" s="37" t="s">
        <v>50</v>
      </c>
      <c r="B52" s="46" t="s">
        <v>68</v>
      </c>
      <c r="C52" s="47">
        <v>6.0000000000000001E-3</v>
      </c>
      <c r="D52" s="48">
        <f>C52*D42</f>
        <v>12.241066666666669</v>
      </c>
    </row>
    <row r="53" spans="1:4" x14ac:dyDescent="0.25">
      <c r="A53" s="37" t="s">
        <v>69</v>
      </c>
      <c r="B53" s="46" t="s">
        <v>70</v>
      </c>
      <c r="C53" s="47">
        <v>2E-3</v>
      </c>
      <c r="D53" s="48">
        <f>C53*D42</f>
        <v>4.0803555555555562</v>
      </c>
    </row>
    <row r="54" spans="1:4" x14ac:dyDescent="0.25">
      <c r="A54" s="37" t="s">
        <v>71</v>
      </c>
      <c r="B54" s="46" t="s">
        <v>72</v>
      </c>
      <c r="C54" s="47">
        <v>0.08</v>
      </c>
      <c r="D54" s="48">
        <f>C54*D42</f>
        <v>163.21422222222225</v>
      </c>
    </row>
    <row r="55" spans="1:4" ht="15.75" customHeight="1" x14ac:dyDescent="0.25">
      <c r="A55" s="164" t="s">
        <v>73</v>
      </c>
      <c r="B55" s="164"/>
      <c r="C55" s="49">
        <f>SUM(C47:C54)</f>
        <v>0.39800000000000008</v>
      </c>
      <c r="D55" s="50">
        <f>SUM(D47:D54)</f>
        <v>811.99075555555567</v>
      </c>
    </row>
    <row r="58" spans="1:4" x14ac:dyDescent="0.25">
      <c r="A58" s="166" t="s">
        <v>74</v>
      </c>
      <c r="B58" s="166"/>
      <c r="C58" s="166"/>
      <c r="D58" s="166"/>
    </row>
    <row r="60" spans="1:4" x14ac:dyDescent="0.25">
      <c r="A60" s="36" t="s">
        <v>75</v>
      </c>
      <c r="B60" s="51" t="s">
        <v>76</v>
      </c>
      <c r="C60" s="36" t="s">
        <v>43</v>
      </c>
      <c r="D60" s="36" t="s">
        <v>43</v>
      </c>
    </row>
    <row r="61" spans="1:4" x14ac:dyDescent="0.25">
      <c r="A61" s="37" t="s">
        <v>23</v>
      </c>
      <c r="B61" s="38" t="s">
        <v>77</v>
      </c>
      <c r="C61" s="52">
        <v>4.5</v>
      </c>
      <c r="D61" s="48">
        <f>IF(((C61*44)-(D23*6%))&gt;0,((C61*44)-(D23*6%)),0)</f>
        <v>87.830399999999997</v>
      </c>
    </row>
    <row r="62" spans="1:4" x14ac:dyDescent="0.25">
      <c r="A62" s="37" t="s">
        <v>25</v>
      </c>
      <c r="B62" s="46" t="s">
        <v>78</v>
      </c>
      <c r="C62" s="53">
        <v>500.85</v>
      </c>
      <c r="D62" s="48">
        <f>C62*0.8</f>
        <v>400.68000000000006</v>
      </c>
    </row>
    <row r="63" spans="1:4" ht="15.75" customHeight="1" x14ac:dyDescent="0.25">
      <c r="A63" s="37" t="s">
        <v>27</v>
      </c>
      <c r="B63" s="163" t="s">
        <v>79</v>
      </c>
      <c r="C63" s="163"/>
      <c r="D63" s="48">
        <f>D62/12</f>
        <v>33.390000000000008</v>
      </c>
    </row>
    <row r="64" spans="1:4" ht="15.75" customHeight="1" x14ac:dyDescent="0.25">
      <c r="A64" s="37" t="s">
        <v>29</v>
      </c>
      <c r="B64" s="163" t="s">
        <v>80</v>
      </c>
      <c r="C64" s="163"/>
      <c r="D64" s="48">
        <v>71.5</v>
      </c>
    </row>
    <row r="65" spans="1:4" ht="15.75" customHeight="1" x14ac:dyDescent="0.25">
      <c r="A65" s="37" t="s">
        <v>48</v>
      </c>
      <c r="B65" s="163" t="s">
        <v>81</v>
      </c>
      <c r="C65" s="163"/>
      <c r="D65" s="48">
        <v>23.5</v>
      </c>
    </row>
    <row r="66" spans="1:4" ht="15.75" customHeight="1" x14ac:dyDescent="0.25">
      <c r="A66" s="37" t="s">
        <v>50</v>
      </c>
      <c r="B66" s="163" t="s">
        <v>82</v>
      </c>
      <c r="C66" s="163"/>
      <c r="D66" s="48">
        <v>23.5</v>
      </c>
    </row>
    <row r="67" spans="1:4" ht="15.75" customHeight="1" x14ac:dyDescent="0.25">
      <c r="A67" s="164" t="s">
        <v>52</v>
      </c>
      <c r="B67" s="164"/>
      <c r="C67" s="164"/>
      <c r="D67" s="54">
        <f>SUM(D61:D66)</f>
        <v>640.4004000000001</v>
      </c>
    </row>
    <row r="70" spans="1:4" x14ac:dyDescent="0.25">
      <c r="A70" s="166" t="s">
        <v>83</v>
      </c>
      <c r="B70" s="166"/>
      <c r="C70" s="166"/>
      <c r="D70" s="166"/>
    </row>
    <row r="72" spans="1:4" ht="15.75" customHeight="1" x14ac:dyDescent="0.25">
      <c r="A72" s="36">
        <v>2</v>
      </c>
      <c r="B72" s="164" t="s">
        <v>84</v>
      </c>
      <c r="C72" s="164"/>
      <c r="D72" s="36" t="s">
        <v>43</v>
      </c>
    </row>
    <row r="73" spans="1:4" ht="15.75" customHeight="1" x14ac:dyDescent="0.25">
      <c r="A73" s="37" t="s">
        <v>55</v>
      </c>
      <c r="B73" s="163" t="s">
        <v>262</v>
      </c>
      <c r="C73" s="163"/>
      <c r="D73" s="48">
        <f>D39</f>
        <v>204.01777777777781</v>
      </c>
    </row>
    <row r="74" spans="1:4" ht="15.75" customHeight="1" x14ac:dyDescent="0.25">
      <c r="A74" s="37" t="s">
        <v>60</v>
      </c>
      <c r="B74" s="163" t="s">
        <v>61</v>
      </c>
      <c r="C74" s="163"/>
      <c r="D74" s="48">
        <f>D55</f>
        <v>811.99075555555567</v>
      </c>
    </row>
    <row r="75" spans="1:4" ht="15.75" customHeight="1" x14ac:dyDescent="0.25">
      <c r="A75" s="37" t="s">
        <v>75</v>
      </c>
      <c r="B75" s="163" t="s">
        <v>76</v>
      </c>
      <c r="C75" s="163"/>
      <c r="D75" s="48">
        <f>D67</f>
        <v>640.4004000000001</v>
      </c>
    </row>
    <row r="76" spans="1:4" ht="15.75" customHeight="1" x14ac:dyDescent="0.25">
      <c r="A76" s="164" t="s">
        <v>52</v>
      </c>
      <c r="B76" s="164"/>
      <c r="C76" s="164"/>
      <c r="D76" s="54">
        <f>SUM(D73:D75)</f>
        <v>1656.4089333333336</v>
      </c>
    </row>
    <row r="77" spans="1:4" x14ac:dyDescent="0.25">
      <c r="A77" s="55"/>
    </row>
    <row r="79" spans="1:4" x14ac:dyDescent="0.25">
      <c r="A79" s="165" t="s">
        <v>85</v>
      </c>
      <c r="B79" s="165"/>
      <c r="C79" s="165"/>
      <c r="D79" s="165"/>
    </row>
    <row r="81" spans="1:6" x14ac:dyDescent="0.25">
      <c r="A81" s="36">
        <v>3</v>
      </c>
      <c r="B81" s="56" t="s">
        <v>86</v>
      </c>
      <c r="C81" s="36" t="s">
        <v>62</v>
      </c>
      <c r="D81" s="36" t="s">
        <v>43</v>
      </c>
    </row>
    <row r="82" spans="1:6" x14ac:dyDescent="0.25">
      <c r="A82" s="37" t="s">
        <v>23</v>
      </c>
      <c r="B82" s="57" t="s">
        <v>87</v>
      </c>
      <c r="C82" s="47">
        <f>0.05*(1/12)</f>
        <v>4.1666666666666666E-3</v>
      </c>
      <c r="D82" s="48">
        <f>C82*D29</f>
        <v>7.6506666666666669</v>
      </c>
    </row>
    <row r="83" spans="1:6" x14ac:dyDescent="0.25">
      <c r="A83" s="37" t="s">
        <v>25</v>
      </c>
      <c r="B83" s="57" t="s">
        <v>88</v>
      </c>
      <c r="C83" s="47">
        <f>C82*C54</f>
        <v>3.3333333333333332E-4</v>
      </c>
      <c r="D83" s="48">
        <f>C83*D29</f>
        <v>0.61205333333333334</v>
      </c>
    </row>
    <row r="84" spans="1:6" x14ac:dyDescent="0.25">
      <c r="A84" s="37" t="s">
        <v>27</v>
      </c>
      <c r="B84" s="57" t="s">
        <v>89</v>
      </c>
      <c r="C84" s="47">
        <f>0.08*0.4*0.9*(1+2/12+(1/3*1/12))</f>
        <v>3.44E-2</v>
      </c>
      <c r="D84" s="48">
        <f>C84*D29</f>
        <v>63.163904000000002</v>
      </c>
    </row>
    <row r="85" spans="1:6" x14ac:dyDescent="0.25">
      <c r="A85" s="37" t="s">
        <v>29</v>
      </c>
      <c r="B85" s="57" t="s">
        <v>90</v>
      </c>
      <c r="C85" s="58">
        <f>(7/30)/12</f>
        <v>1.9444444444444445E-2</v>
      </c>
      <c r="D85" s="48">
        <f>C85*D29</f>
        <v>35.703111111111113</v>
      </c>
      <c r="F85" s="59"/>
    </row>
    <row r="86" spans="1:6" x14ac:dyDescent="0.25">
      <c r="A86" s="37" t="s">
        <v>48</v>
      </c>
      <c r="B86" s="57" t="s">
        <v>91</v>
      </c>
      <c r="C86" s="58">
        <f>C85*C55</f>
        <v>7.7388888888888906E-3</v>
      </c>
      <c r="D86" s="48">
        <f>C86*D29</f>
        <v>14.209838222222226</v>
      </c>
      <c r="F86" s="60"/>
    </row>
    <row r="87" spans="1:6" x14ac:dyDescent="0.25">
      <c r="A87" s="37" t="s">
        <v>50</v>
      </c>
      <c r="B87" s="57" t="s">
        <v>92</v>
      </c>
      <c r="C87" s="58">
        <f>C85*C54*0.4</f>
        <v>6.2222222222222236E-4</v>
      </c>
      <c r="D87" s="48">
        <f>C87*D29</f>
        <v>1.1424995555555559</v>
      </c>
    </row>
    <row r="88" spans="1:6" ht="15.75" customHeight="1" x14ac:dyDescent="0.25">
      <c r="A88" s="167" t="s">
        <v>52</v>
      </c>
      <c r="B88" s="167"/>
      <c r="C88" s="49">
        <f>SUM(C82:C87)</f>
        <v>6.6705555555555546E-2</v>
      </c>
      <c r="D88" s="40">
        <f>SUM(D82:D87)</f>
        <v>122.48207288888891</v>
      </c>
    </row>
    <row r="91" spans="1:6" x14ac:dyDescent="0.25">
      <c r="A91" s="165" t="s">
        <v>93</v>
      </c>
      <c r="B91" s="165"/>
      <c r="C91" s="165"/>
      <c r="D91" s="165"/>
    </row>
    <row r="94" spans="1:6" x14ac:dyDescent="0.25">
      <c r="A94" s="166" t="s">
        <v>94</v>
      </c>
      <c r="B94" s="166"/>
      <c r="C94" s="166"/>
      <c r="D94" s="166"/>
    </row>
    <row r="95" spans="1:6" x14ac:dyDescent="0.25">
      <c r="A95" s="42"/>
    </row>
    <row r="96" spans="1:6" x14ac:dyDescent="0.25">
      <c r="A96" s="36" t="s">
        <v>95</v>
      </c>
      <c r="B96" s="61" t="s">
        <v>96</v>
      </c>
      <c r="C96" s="36" t="s">
        <v>62</v>
      </c>
      <c r="D96" s="36" t="s">
        <v>43</v>
      </c>
    </row>
    <row r="97" spans="1:5" x14ac:dyDescent="0.25">
      <c r="A97" s="37" t="s">
        <v>23</v>
      </c>
      <c r="B97" s="57" t="s">
        <v>97</v>
      </c>
      <c r="C97" s="47">
        <f>1/12</f>
        <v>8.3333333333333329E-2</v>
      </c>
      <c r="D97" s="48">
        <f>C97*D29</f>
        <v>153.01333333333332</v>
      </c>
    </row>
    <row r="98" spans="1:5" x14ac:dyDescent="0.25">
      <c r="A98" s="37" t="s">
        <v>25</v>
      </c>
      <c r="B98" s="57" t="s">
        <v>98</v>
      </c>
      <c r="C98" s="47">
        <f>1/30/12</f>
        <v>2.7777777777777779E-3</v>
      </c>
      <c r="D98" s="48">
        <f>C98*D29</f>
        <v>5.1004444444444452</v>
      </c>
    </row>
    <row r="99" spans="1:5" x14ac:dyDescent="0.25">
      <c r="A99" s="37" t="s">
        <v>27</v>
      </c>
      <c r="B99" s="57" t="s">
        <v>99</v>
      </c>
      <c r="C99" s="47">
        <f>(5/30/12)*0.015</f>
        <v>2.0833333333333332E-4</v>
      </c>
      <c r="D99" s="48">
        <f>C99*D29</f>
        <v>0.38253333333333334</v>
      </c>
      <c r="E99" s="60"/>
    </row>
    <row r="100" spans="1:5" x14ac:dyDescent="0.25">
      <c r="A100" s="37" t="s">
        <v>29</v>
      </c>
      <c r="B100" s="57" t="s">
        <v>100</v>
      </c>
      <c r="C100" s="47">
        <f>(1/12)*0.0178</f>
        <v>1.4833333333333332E-3</v>
      </c>
      <c r="D100" s="48">
        <f>C100*D29</f>
        <v>2.7236373333333335</v>
      </c>
    </row>
    <row r="101" spans="1:5" x14ac:dyDescent="0.25">
      <c r="A101" s="37" t="s">
        <v>48</v>
      </c>
      <c r="B101" s="57" t="s">
        <v>101</v>
      </c>
      <c r="C101" s="47">
        <f>11.11%*5.28%*50%</f>
        <v>2.9330399999999996E-3</v>
      </c>
      <c r="D101" s="48">
        <f>C101*D29</f>
        <v>5.3855307263999999</v>
      </c>
    </row>
    <row r="102" spans="1:5" x14ac:dyDescent="0.25">
      <c r="A102" s="37" t="s">
        <v>50</v>
      </c>
      <c r="B102" s="57" t="s">
        <v>102</v>
      </c>
      <c r="C102" s="47">
        <f>5/30/12</f>
        <v>1.3888888888888888E-2</v>
      </c>
      <c r="D102" s="48">
        <f>C102*D29</f>
        <v>25.502222222222223</v>
      </c>
    </row>
    <row r="103" spans="1:5" ht="15.75" customHeight="1" x14ac:dyDescent="0.25">
      <c r="A103" s="164" t="s">
        <v>103</v>
      </c>
      <c r="B103" s="164"/>
      <c r="C103" s="49">
        <f>SUM(C97:C102)</f>
        <v>0.10462470666666668</v>
      </c>
      <c r="D103" s="54">
        <f>SUM(D97:D102)</f>
        <v>192.10770139306663</v>
      </c>
    </row>
    <row r="104" spans="1:5" x14ac:dyDescent="0.25">
      <c r="A104" s="26" t="s">
        <v>69</v>
      </c>
      <c r="B104" s="62" t="s">
        <v>104</v>
      </c>
      <c r="C104" s="63">
        <f>C103*C55</f>
        <v>4.1640633253333344E-2</v>
      </c>
      <c r="D104" s="64">
        <f>C104*D29</f>
        <v>76.458865154440559</v>
      </c>
    </row>
    <row r="105" spans="1:5" ht="15.75" customHeight="1" x14ac:dyDescent="0.25">
      <c r="A105" s="164" t="s">
        <v>73</v>
      </c>
      <c r="B105" s="164"/>
      <c r="C105" s="49">
        <f>SUM(C103:C104)</f>
        <v>0.14626533992000001</v>
      </c>
      <c r="D105" s="40">
        <f>SUM(D103:D104)</f>
        <v>268.56656654750719</v>
      </c>
    </row>
    <row r="108" spans="1:5" x14ac:dyDescent="0.25">
      <c r="A108" s="166" t="s">
        <v>105</v>
      </c>
      <c r="B108" s="166"/>
      <c r="C108" s="166"/>
      <c r="D108" s="166"/>
    </row>
    <row r="109" spans="1:5" x14ac:dyDescent="0.25">
      <c r="A109" s="42"/>
    </row>
    <row r="110" spans="1:5" x14ac:dyDescent="0.25">
      <c r="A110" s="36" t="s">
        <v>106</v>
      </c>
      <c r="B110" s="61" t="s">
        <v>107</v>
      </c>
      <c r="C110" s="36" t="s">
        <v>62</v>
      </c>
      <c r="D110" s="36" t="s">
        <v>43</v>
      </c>
    </row>
    <row r="111" spans="1:5" x14ac:dyDescent="0.25">
      <c r="A111" s="37" t="s">
        <v>23</v>
      </c>
      <c r="B111" s="57" t="s">
        <v>108</v>
      </c>
      <c r="C111" s="47">
        <v>0</v>
      </c>
      <c r="D111" s="39">
        <f>C111*D29</f>
        <v>0</v>
      </c>
    </row>
    <row r="112" spans="1:5" ht="15.75" customHeight="1" x14ac:dyDescent="0.25">
      <c r="A112" s="167" t="s">
        <v>52</v>
      </c>
      <c r="B112" s="167"/>
      <c r="C112" s="49">
        <f>SUM(C111)</f>
        <v>0</v>
      </c>
      <c r="D112" s="40">
        <f>SUM(D111)</f>
        <v>0</v>
      </c>
    </row>
    <row r="115" spans="1:4" x14ac:dyDescent="0.25">
      <c r="A115" s="166" t="s">
        <v>109</v>
      </c>
      <c r="B115" s="166"/>
      <c r="C115" s="166"/>
      <c r="D115" s="166"/>
    </row>
    <row r="116" spans="1:4" x14ac:dyDescent="0.25">
      <c r="A116" s="42"/>
    </row>
    <row r="117" spans="1:4" ht="15.75" customHeight="1" x14ac:dyDescent="0.25">
      <c r="A117" s="36">
        <v>4</v>
      </c>
      <c r="B117" s="164" t="s">
        <v>110</v>
      </c>
      <c r="C117" s="164"/>
      <c r="D117" s="36" t="s">
        <v>43</v>
      </c>
    </row>
    <row r="118" spans="1:4" ht="15.75" customHeight="1" x14ac:dyDescent="0.25">
      <c r="A118" s="37" t="s">
        <v>95</v>
      </c>
      <c r="B118" s="163" t="s">
        <v>96</v>
      </c>
      <c r="C118" s="163"/>
      <c r="D118" s="39">
        <f>D105</f>
        <v>268.56656654750719</v>
      </c>
    </row>
    <row r="119" spans="1:4" ht="15.75" customHeight="1" x14ac:dyDescent="0.25">
      <c r="A119" s="37" t="s">
        <v>106</v>
      </c>
      <c r="B119" s="163" t="s">
        <v>107</v>
      </c>
      <c r="C119" s="163"/>
      <c r="D119" s="39">
        <f>D112</f>
        <v>0</v>
      </c>
    </row>
    <row r="120" spans="1:4" ht="15.75" customHeight="1" x14ac:dyDescent="0.25">
      <c r="A120" s="164" t="s">
        <v>52</v>
      </c>
      <c r="B120" s="164"/>
      <c r="C120" s="164"/>
      <c r="D120" s="40">
        <f>SUM(D118:D119)</f>
        <v>268.56656654750719</v>
      </c>
    </row>
    <row r="123" spans="1:4" x14ac:dyDescent="0.25">
      <c r="A123" s="165" t="s">
        <v>111</v>
      </c>
      <c r="B123" s="165"/>
      <c r="C123" s="165"/>
      <c r="D123" s="165"/>
    </row>
    <row r="125" spans="1:4" ht="15.75" customHeight="1" x14ac:dyDescent="0.25">
      <c r="A125" s="36">
        <v>5</v>
      </c>
      <c r="B125" s="164" t="s">
        <v>112</v>
      </c>
      <c r="C125" s="164"/>
      <c r="D125" s="36" t="s">
        <v>43</v>
      </c>
    </row>
    <row r="126" spans="1:4" ht="15.75" customHeight="1" x14ac:dyDescent="0.25">
      <c r="A126" s="37" t="s">
        <v>23</v>
      </c>
      <c r="B126" s="163" t="s">
        <v>113</v>
      </c>
      <c r="C126" s="163"/>
      <c r="D126" s="39">
        <f>Uniformes!H18</f>
        <v>109.36821428571427</v>
      </c>
    </row>
    <row r="127" spans="1:4" ht="15.75" customHeight="1" x14ac:dyDescent="0.25">
      <c r="A127" s="37" t="s">
        <v>25</v>
      </c>
      <c r="B127" s="163" t="s">
        <v>114</v>
      </c>
      <c r="C127" s="163"/>
      <c r="D127" s="65">
        <v>15</v>
      </c>
    </row>
    <row r="128" spans="1:4" ht="15.75" customHeight="1" x14ac:dyDescent="0.25">
      <c r="A128" s="164" t="s">
        <v>73</v>
      </c>
      <c r="B128" s="164"/>
      <c r="C128" s="164"/>
      <c r="D128" s="40">
        <f>SUM(D126:D127)</f>
        <v>124.36821428571427</v>
      </c>
    </row>
    <row r="131" spans="1:6" x14ac:dyDescent="0.25">
      <c r="A131" s="165" t="s">
        <v>115</v>
      </c>
      <c r="B131" s="165"/>
      <c r="C131" s="165"/>
      <c r="D131" s="165"/>
    </row>
    <row r="133" spans="1:6" x14ac:dyDescent="0.25">
      <c r="A133" s="36">
        <v>6</v>
      </c>
      <c r="B133" s="51" t="s">
        <v>116</v>
      </c>
      <c r="C133" s="36" t="s">
        <v>62</v>
      </c>
      <c r="D133" s="36" t="s">
        <v>43</v>
      </c>
    </row>
    <row r="134" spans="1:6" x14ac:dyDescent="0.25">
      <c r="A134" s="26" t="s">
        <v>23</v>
      </c>
      <c r="B134" s="66" t="s">
        <v>117</v>
      </c>
      <c r="C134" s="67">
        <v>0.06</v>
      </c>
      <c r="D134" s="68">
        <f>D151*C134</f>
        <v>240.47914722332663</v>
      </c>
      <c r="E134" s="69"/>
    </row>
    <row r="135" spans="1:6" x14ac:dyDescent="0.25">
      <c r="A135" s="37" t="s">
        <v>25</v>
      </c>
      <c r="B135" s="46" t="s">
        <v>118</v>
      </c>
      <c r="C135" s="70">
        <v>6.7900000000000002E-2</v>
      </c>
      <c r="D135" s="71">
        <f>C135*(D151+D134)</f>
        <v>288.47076903752856</v>
      </c>
    </row>
    <row r="136" spans="1:6" x14ac:dyDescent="0.25">
      <c r="A136" s="37" t="s">
        <v>27</v>
      </c>
      <c r="B136" s="46" t="s">
        <v>119</v>
      </c>
      <c r="C136" s="70">
        <f>SUM(C137:C139)</f>
        <v>6.6500000000000004E-2</v>
      </c>
      <c r="D136" s="71">
        <f>((D151+D134+D135)/(1-C136))*C136</f>
        <v>323.19895476222166</v>
      </c>
    </row>
    <row r="137" spans="1:6" x14ac:dyDescent="0.25">
      <c r="A137" s="37"/>
      <c r="B137" s="46" t="s">
        <v>120</v>
      </c>
      <c r="C137" s="72">
        <f>3.65%</f>
        <v>3.6499999999999998E-2</v>
      </c>
      <c r="D137" s="71">
        <f>((D151+D134+D135)/(1-C136))*C137</f>
        <v>177.394915019866</v>
      </c>
      <c r="E137" s="152"/>
    </row>
    <row r="138" spans="1:6" x14ac:dyDescent="0.25">
      <c r="A138" s="37"/>
      <c r="B138" s="46" t="s">
        <v>121</v>
      </c>
      <c r="C138" s="70">
        <v>0</v>
      </c>
      <c r="D138" s="71">
        <f>((D151+D134+D135)/(1-C136))*C138</f>
        <v>0</v>
      </c>
      <c r="F138" s="73"/>
    </row>
    <row r="139" spans="1:6" x14ac:dyDescent="0.25">
      <c r="A139" s="37"/>
      <c r="B139" s="46" t="s">
        <v>122</v>
      </c>
      <c r="C139" s="70">
        <v>0.03</v>
      </c>
      <c r="D139" s="71">
        <f>((D151+D134+D135)/(1-C136))*C139</f>
        <v>145.80403974235563</v>
      </c>
    </row>
    <row r="140" spans="1:6" ht="15.75" customHeight="1" x14ac:dyDescent="0.25">
      <c r="A140" s="164" t="s">
        <v>73</v>
      </c>
      <c r="B140" s="164"/>
      <c r="C140" s="49">
        <f>SUM(C134:C136)</f>
        <v>0.19440000000000002</v>
      </c>
      <c r="D140" s="74">
        <f>SUM(D134:D136)</f>
        <v>852.14887102307682</v>
      </c>
    </row>
    <row r="143" spans="1:6" x14ac:dyDescent="0.25">
      <c r="A143" s="165" t="s">
        <v>123</v>
      </c>
      <c r="B143" s="165"/>
      <c r="C143" s="165"/>
      <c r="D143" s="165"/>
    </row>
    <row r="145" spans="1:4" ht="15.75" customHeight="1" x14ac:dyDescent="0.25">
      <c r="A145" s="36"/>
      <c r="B145" s="164" t="s">
        <v>124</v>
      </c>
      <c r="C145" s="164"/>
      <c r="D145" s="36" t="s">
        <v>43</v>
      </c>
    </row>
    <row r="146" spans="1:4" ht="15.75" customHeight="1" x14ac:dyDescent="0.25">
      <c r="A146" s="36" t="s">
        <v>23</v>
      </c>
      <c r="B146" s="163" t="s">
        <v>41</v>
      </c>
      <c r="C146" s="163"/>
      <c r="D146" s="39">
        <f>D29</f>
        <v>1836.16</v>
      </c>
    </row>
    <row r="147" spans="1:4" ht="15.75" customHeight="1" x14ac:dyDescent="0.25">
      <c r="A147" s="36" t="s">
        <v>25</v>
      </c>
      <c r="B147" s="163" t="s">
        <v>53</v>
      </c>
      <c r="C147" s="163"/>
      <c r="D147" s="39">
        <f>D76</f>
        <v>1656.4089333333336</v>
      </c>
    </row>
    <row r="148" spans="1:4" ht="15.75" customHeight="1" x14ac:dyDescent="0.25">
      <c r="A148" s="36" t="s">
        <v>27</v>
      </c>
      <c r="B148" s="163" t="s">
        <v>85</v>
      </c>
      <c r="C148" s="163"/>
      <c r="D148" s="39">
        <f>D88</f>
        <v>122.48207288888891</v>
      </c>
    </row>
    <row r="149" spans="1:4" ht="15.75" customHeight="1" x14ac:dyDescent="0.25">
      <c r="A149" s="36" t="s">
        <v>29</v>
      </c>
      <c r="B149" s="163" t="s">
        <v>93</v>
      </c>
      <c r="C149" s="163"/>
      <c r="D149" s="39">
        <f>D120</f>
        <v>268.56656654750719</v>
      </c>
    </row>
    <row r="150" spans="1:4" ht="15.75" customHeight="1" x14ac:dyDescent="0.25">
      <c r="A150" s="36" t="s">
        <v>48</v>
      </c>
      <c r="B150" s="163" t="s">
        <v>111</v>
      </c>
      <c r="C150" s="163"/>
      <c r="D150" s="39">
        <f>D128</f>
        <v>124.36821428571427</v>
      </c>
    </row>
    <row r="151" spans="1:4" ht="15.75" customHeight="1" x14ac:dyDescent="0.25">
      <c r="A151" s="164" t="s">
        <v>125</v>
      </c>
      <c r="B151" s="164"/>
      <c r="C151" s="164"/>
      <c r="D151" s="40">
        <f>SUM(D146:D150)</f>
        <v>4007.9857870554442</v>
      </c>
    </row>
    <row r="152" spans="1:4" ht="15.75" customHeight="1" x14ac:dyDescent="0.25">
      <c r="A152" s="36" t="s">
        <v>50</v>
      </c>
      <c r="B152" s="163" t="s">
        <v>126</v>
      </c>
      <c r="C152" s="163"/>
      <c r="D152" s="39">
        <f>D140</f>
        <v>852.14887102307682</v>
      </c>
    </row>
    <row r="153" spans="1:4" ht="15.75" customHeight="1" x14ac:dyDescent="0.25">
      <c r="A153" s="164" t="s">
        <v>127</v>
      </c>
      <c r="B153" s="164"/>
      <c r="C153" s="164"/>
      <c r="D153" s="40">
        <f>TRUNC(SUM(D151:D152),2)</f>
        <v>4860.13</v>
      </c>
    </row>
  </sheetData>
  <mergeCells count="75">
    <mergeCell ref="A1:D1"/>
    <mergeCell ref="A2:D2"/>
    <mergeCell ref="A3:D3"/>
    <mergeCell ref="A5:D5"/>
    <mergeCell ref="C7:D7"/>
    <mergeCell ref="C8:D8"/>
    <mergeCell ref="C9:D9"/>
    <mergeCell ref="C10:D10"/>
    <mergeCell ref="C12:D12"/>
    <mergeCell ref="C13:D13"/>
    <mergeCell ref="C14:D14"/>
    <mergeCell ref="C15:D15"/>
    <mergeCell ref="C16:D16"/>
    <mergeCell ref="C17:D17"/>
    <mergeCell ref="C18:D18"/>
    <mergeCell ref="A20:D20"/>
    <mergeCell ref="B22:C22"/>
    <mergeCell ref="B23:C23"/>
    <mergeCell ref="B24:C24"/>
    <mergeCell ref="B25:C25"/>
    <mergeCell ref="B26:C26"/>
    <mergeCell ref="B27:C27"/>
    <mergeCell ref="B28:C28"/>
    <mergeCell ref="A29:C29"/>
    <mergeCell ref="A32:D32"/>
    <mergeCell ref="A34:D34"/>
    <mergeCell ref="B36:C36"/>
    <mergeCell ref="B37:C37"/>
    <mergeCell ref="B38:C38"/>
    <mergeCell ref="A39:C39"/>
    <mergeCell ref="A42:C42"/>
    <mergeCell ref="A44:D44"/>
    <mergeCell ref="A55:B55"/>
    <mergeCell ref="A58:D58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A88:B88"/>
    <mergeCell ref="A91:D91"/>
    <mergeCell ref="A94:D94"/>
    <mergeCell ref="A103:B103"/>
    <mergeCell ref="A105:B105"/>
    <mergeCell ref="A108:D108"/>
    <mergeCell ref="A112:B112"/>
    <mergeCell ref="A115:D115"/>
    <mergeCell ref="B117:C117"/>
    <mergeCell ref="B118:C118"/>
    <mergeCell ref="B119:C119"/>
    <mergeCell ref="A120:C120"/>
    <mergeCell ref="A123:D123"/>
    <mergeCell ref="B125:C125"/>
    <mergeCell ref="B126:C126"/>
    <mergeCell ref="B127:C127"/>
    <mergeCell ref="A128:C128"/>
    <mergeCell ref="A131:D131"/>
    <mergeCell ref="A140:B140"/>
    <mergeCell ref="A143:D143"/>
    <mergeCell ref="B145:C145"/>
    <mergeCell ref="B146:C146"/>
    <mergeCell ref="B147:C147"/>
    <mergeCell ref="B148:C148"/>
    <mergeCell ref="B149:C149"/>
    <mergeCell ref="B150:C150"/>
    <mergeCell ref="A151:C151"/>
    <mergeCell ref="B152:C152"/>
    <mergeCell ref="A153:C153"/>
  </mergeCells>
  <printOptions horizontalCentered="1"/>
  <pageMargins left="0.51180555555555596" right="0.51180555555555596" top="1.1027777777777801" bottom="0.78749999999999998" header="0.78749999999999998" footer="0.511811023622047"/>
  <pageSetup paperSize="9" scale="79" fitToHeight="0" orientation="portrait" horizontalDpi="300" verticalDpi="300" r:id="rId1"/>
  <headerFooter>
    <oddHeader>&amp;C&amp;"Times New Roman,Normal"&amp;12&amp;F - &amp;A - Pág. &amp;P/&amp;N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153"/>
  <sheetViews>
    <sheetView showGridLines="0" topLeftCell="A43" zoomScaleNormal="100" workbookViewId="0">
      <selection activeCell="C15" sqref="C15:D15"/>
    </sheetView>
  </sheetViews>
  <sheetFormatPr defaultColWidth="9.140625" defaultRowHeight="15.75" x14ac:dyDescent="0.25"/>
  <cols>
    <col min="1" max="1" width="9.140625" style="30"/>
    <col min="2" max="2" width="73.42578125" style="30" customWidth="1"/>
    <col min="3" max="4" width="16.85546875" style="30" customWidth="1"/>
    <col min="5" max="5" width="12.7109375" style="30" customWidth="1"/>
    <col min="6" max="6" width="12" style="30" customWidth="1"/>
    <col min="7" max="7" width="15.140625" style="30" customWidth="1"/>
    <col min="8" max="1024" width="9.140625" style="30"/>
  </cols>
  <sheetData>
    <row r="1" spans="1:6" x14ac:dyDescent="0.25">
      <c r="A1" s="160" t="s">
        <v>0</v>
      </c>
      <c r="B1" s="160"/>
      <c r="C1" s="160"/>
      <c r="D1" s="160"/>
    </row>
    <row r="2" spans="1:6" x14ac:dyDescent="0.25">
      <c r="A2" s="160" t="s">
        <v>1</v>
      </c>
      <c r="B2" s="160"/>
      <c r="C2" s="160"/>
      <c r="D2" s="160"/>
    </row>
    <row r="3" spans="1:6" x14ac:dyDescent="0.25">
      <c r="A3" s="177" t="s">
        <v>2</v>
      </c>
      <c r="B3" s="177"/>
      <c r="C3" s="177"/>
      <c r="D3" s="177"/>
    </row>
    <row r="4" spans="1:6" x14ac:dyDescent="0.25">
      <c r="A4" s="31"/>
      <c r="B4" s="31"/>
      <c r="C4" s="31"/>
      <c r="D4" s="31"/>
    </row>
    <row r="5" spans="1:6" ht="24.75" customHeight="1" x14ac:dyDescent="0.25">
      <c r="A5" s="178" t="s">
        <v>3</v>
      </c>
      <c r="B5" s="178"/>
      <c r="C5" s="178"/>
      <c r="D5" s="178"/>
    </row>
    <row r="6" spans="1:6" x14ac:dyDescent="0.25">
      <c r="A6" s="31"/>
      <c r="B6" s="31"/>
      <c r="C6" s="31"/>
      <c r="D6" s="31"/>
    </row>
    <row r="7" spans="1:6" ht="15.75" customHeight="1" x14ac:dyDescent="0.25">
      <c r="A7" s="32" t="s">
        <v>23</v>
      </c>
      <c r="B7" s="33" t="s">
        <v>24</v>
      </c>
      <c r="C7" s="175"/>
      <c r="D7" s="175"/>
    </row>
    <row r="8" spans="1:6" x14ac:dyDescent="0.25">
      <c r="A8" s="32" t="s">
        <v>25</v>
      </c>
      <c r="B8" s="33" t="s">
        <v>26</v>
      </c>
      <c r="C8" s="175"/>
      <c r="D8" s="175"/>
    </row>
    <row r="9" spans="1:6" x14ac:dyDescent="0.25">
      <c r="A9" s="32" t="s">
        <v>27</v>
      </c>
      <c r="B9" s="33" t="s">
        <v>28</v>
      </c>
      <c r="C9" s="175"/>
      <c r="D9" s="175"/>
    </row>
    <row r="10" spans="1:6" x14ac:dyDescent="0.25">
      <c r="A10" s="32" t="s">
        <v>29</v>
      </c>
      <c r="B10" s="33" t="s">
        <v>30</v>
      </c>
      <c r="C10" s="175"/>
      <c r="D10" s="175"/>
    </row>
    <row r="11" spans="1:6" x14ac:dyDescent="0.25">
      <c r="A11" s="34"/>
      <c r="B11" s="35"/>
      <c r="C11" s="34"/>
      <c r="D11" s="34"/>
      <c r="E11" s="34"/>
      <c r="F11" s="34"/>
    </row>
    <row r="12" spans="1:6" ht="15.75" customHeight="1" x14ac:dyDescent="0.25">
      <c r="A12" s="34"/>
      <c r="B12" s="33" t="s">
        <v>31</v>
      </c>
      <c r="C12" s="175" t="s">
        <v>128</v>
      </c>
      <c r="D12" s="175"/>
      <c r="E12" s="34"/>
      <c r="F12" s="34"/>
    </row>
    <row r="13" spans="1:6" ht="15.75" customHeight="1" x14ac:dyDescent="0.25">
      <c r="A13" s="34"/>
      <c r="B13" s="33" t="s">
        <v>33</v>
      </c>
      <c r="C13" s="176" t="s">
        <v>129</v>
      </c>
      <c r="D13" s="176"/>
      <c r="E13" s="34"/>
      <c r="F13" s="34"/>
    </row>
    <row r="14" spans="1:6" x14ac:dyDescent="0.25">
      <c r="A14" s="34"/>
      <c r="B14" s="33" t="s">
        <v>130</v>
      </c>
      <c r="C14" s="172">
        <f>10.65*220</f>
        <v>2343</v>
      </c>
      <c r="D14" s="172"/>
      <c r="E14" s="34"/>
      <c r="F14" s="34"/>
    </row>
    <row r="15" spans="1:6" ht="15.75" customHeight="1" x14ac:dyDescent="0.25">
      <c r="A15" s="34"/>
      <c r="B15" s="33" t="s">
        <v>36</v>
      </c>
      <c r="C15" s="173" t="s">
        <v>131</v>
      </c>
      <c r="D15" s="173"/>
      <c r="E15" s="34"/>
      <c r="F15" s="34"/>
    </row>
    <row r="16" spans="1:6" x14ac:dyDescent="0.25">
      <c r="A16" s="34"/>
      <c r="B16" s="33" t="s">
        <v>38</v>
      </c>
      <c r="C16" s="174">
        <v>44713</v>
      </c>
      <c r="D16" s="174"/>
      <c r="E16" s="34"/>
      <c r="F16" s="34"/>
    </row>
    <row r="17" spans="1:6" ht="15.75" customHeight="1" x14ac:dyDescent="0.25">
      <c r="A17" s="34"/>
      <c r="B17" s="33" t="s">
        <v>39</v>
      </c>
      <c r="C17" s="175" t="s">
        <v>10</v>
      </c>
      <c r="D17" s="175"/>
      <c r="E17" s="34"/>
      <c r="F17" s="34"/>
    </row>
    <row r="18" spans="1:6" x14ac:dyDescent="0.25">
      <c r="A18" s="34"/>
      <c r="B18" s="33" t="s">
        <v>40</v>
      </c>
      <c r="C18" s="175">
        <v>1</v>
      </c>
      <c r="D18" s="175"/>
      <c r="E18" s="34"/>
      <c r="F18" s="34"/>
    </row>
    <row r="20" spans="1:6" x14ac:dyDescent="0.25">
      <c r="A20" s="165" t="s">
        <v>41</v>
      </c>
      <c r="B20" s="165"/>
      <c r="C20" s="165"/>
      <c r="D20" s="165"/>
    </row>
    <row r="22" spans="1:6" ht="15.75" customHeight="1" x14ac:dyDescent="0.25">
      <c r="A22" s="36">
        <v>1</v>
      </c>
      <c r="B22" s="164" t="s">
        <v>42</v>
      </c>
      <c r="C22" s="164"/>
      <c r="D22" s="36" t="s">
        <v>43</v>
      </c>
    </row>
    <row r="23" spans="1:6" ht="15.75" customHeight="1" x14ac:dyDescent="0.25">
      <c r="A23" s="37" t="s">
        <v>23</v>
      </c>
      <c r="B23" s="163" t="s">
        <v>44</v>
      </c>
      <c r="C23" s="163"/>
      <c r="D23" s="39">
        <f>C14</f>
        <v>2343</v>
      </c>
    </row>
    <row r="24" spans="1:6" ht="15.75" customHeight="1" x14ac:dyDescent="0.25">
      <c r="A24" s="37" t="s">
        <v>25</v>
      </c>
      <c r="B24" s="163" t="s">
        <v>45</v>
      </c>
      <c r="C24" s="163"/>
      <c r="D24" s="39">
        <v>0</v>
      </c>
    </row>
    <row r="25" spans="1:6" ht="15.75" customHeight="1" x14ac:dyDescent="0.25">
      <c r="A25" s="37" t="s">
        <v>27</v>
      </c>
      <c r="B25" s="163" t="s">
        <v>46</v>
      </c>
      <c r="C25" s="163"/>
      <c r="D25" s="39">
        <v>0</v>
      </c>
    </row>
    <row r="26" spans="1:6" ht="15.75" customHeight="1" x14ac:dyDescent="0.25">
      <c r="A26" s="37" t="s">
        <v>29</v>
      </c>
      <c r="B26" s="163" t="s">
        <v>47</v>
      </c>
      <c r="C26" s="163"/>
      <c r="D26" s="39">
        <v>0</v>
      </c>
    </row>
    <row r="27" spans="1:6" ht="15.75" customHeight="1" x14ac:dyDescent="0.25">
      <c r="A27" s="37" t="s">
        <v>48</v>
      </c>
      <c r="B27" s="163" t="s">
        <v>49</v>
      </c>
      <c r="C27" s="163"/>
      <c r="D27" s="39">
        <v>0</v>
      </c>
    </row>
    <row r="28" spans="1:6" ht="15.75" customHeight="1" x14ac:dyDescent="0.25">
      <c r="A28" s="37" t="s">
        <v>50</v>
      </c>
      <c r="B28" s="163" t="s">
        <v>51</v>
      </c>
      <c r="C28" s="163"/>
      <c r="D28" s="39">
        <v>0</v>
      </c>
    </row>
    <row r="29" spans="1:6" ht="15.75" customHeight="1" x14ac:dyDescent="0.25">
      <c r="A29" s="164" t="s">
        <v>52</v>
      </c>
      <c r="B29" s="164"/>
      <c r="C29" s="164"/>
      <c r="D29" s="40">
        <f>SUM(D23:D28)</f>
        <v>2343</v>
      </c>
      <c r="E29" s="41"/>
    </row>
    <row r="32" spans="1:6" x14ac:dyDescent="0.25">
      <c r="A32" s="165" t="s">
        <v>53</v>
      </c>
      <c r="B32" s="165"/>
      <c r="C32" s="165"/>
      <c r="D32" s="165"/>
    </row>
    <row r="33" spans="1:6" x14ac:dyDescent="0.25">
      <c r="A33" s="42"/>
    </row>
    <row r="34" spans="1:6" x14ac:dyDescent="0.25">
      <c r="A34" s="166" t="s">
        <v>54</v>
      </c>
      <c r="B34" s="166"/>
      <c r="C34" s="166"/>
      <c r="D34" s="166"/>
    </row>
    <row r="36" spans="1:6" ht="15.75" customHeight="1" x14ac:dyDescent="0.25">
      <c r="A36" s="36" t="s">
        <v>55</v>
      </c>
      <c r="B36" s="164" t="s">
        <v>56</v>
      </c>
      <c r="C36" s="164"/>
      <c r="D36" s="36" t="s">
        <v>43</v>
      </c>
    </row>
    <row r="37" spans="1:6" ht="15.75" customHeight="1" x14ac:dyDescent="0.25">
      <c r="A37" s="37" t="s">
        <v>23</v>
      </c>
      <c r="B37" s="163" t="s">
        <v>57</v>
      </c>
      <c r="C37" s="163"/>
      <c r="D37" s="39">
        <f>D29/12</f>
        <v>195.25</v>
      </c>
    </row>
    <row r="38" spans="1:6" ht="15.75" customHeight="1" x14ac:dyDescent="0.25">
      <c r="A38" s="149" t="s">
        <v>25</v>
      </c>
      <c r="B38" s="171" t="s">
        <v>261</v>
      </c>
      <c r="C38" s="171"/>
      <c r="D38" s="150">
        <f>((D29/3)/12)</f>
        <v>65.083333333333329</v>
      </c>
    </row>
    <row r="39" spans="1:6" ht="15.75" customHeight="1" x14ac:dyDescent="0.25">
      <c r="A39" s="164" t="s">
        <v>52</v>
      </c>
      <c r="B39" s="164"/>
      <c r="C39" s="164"/>
      <c r="D39" s="40">
        <f>SUM(D37:D38)</f>
        <v>260.33333333333331</v>
      </c>
      <c r="F39" s="43"/>
    </row>
    <row r="40" spans="1:6" ht="15.75" customHeight="1" x14ac:dyDescent="0.25">
      <c r="A40" s="44"/>
      <c r="B40" s="44"/>
      <c r="C40" s="44"/>
      <c r="D40" s="45"/>
      <c r="F40" s="43"/>
    </row>
    <row r="41" spans="1:6" ht="15.75" customHeight="1" x14ac:dyDescent="0.25">
      <c r="F41" s="43"/>
    </row>
    <row r="42" spans="1:6" x14ac:dyDescent="0.25">
      <c r="A42" s="168" t="s">
        <v>58</v>
      </c>
      <c r="B42" s="168"/>
      <c r="C42" s="168"/>
      <c r="D42" s="40">
        <f>D29+D39</f>
        <v>2603.3333333333335</v>
      </c>
    </row>
    <row r="44" spans="1:6" ht="15.75" customHeight="1" x14ac:dyDescent="0.25">
      <c r="A44" s="169" t="s">
        <v>59</v>
      </c>
      <c r="B44" s="169"/>
      <c r="C44" s="169"/>
      <c r="D44" s="169"/>
    </row>
    <row r="46" spans="1:6" x14ac:dyDescent="0.25">
      <c r="A46" s="36" t="s">
        <v>60</v>
      </c>
      <c r="B46" s="36" t="s">
        <v>61</v>
      </c>
      <c r="C46" s="36" t="s">
        <v>62</v>
      </c>
      <c r="D46" s="36" t="s">
        <v>43</v>
      </c>
    </row>
    <row r="47" spans="1:6" x14ac:dyDescent="0.25">
      <c r="A47" s="37" t="s">
        <v>23</v>
      </c>
      <c r="B47" s="46" t="s">
        <v>63</v>
      </c>
      <c r="C47" s="47">
        <v>0.2</v>
      </c>
      <c r="D47" s="48">
        <f>C47*D42</f>
        <v>520.66666666666674</v>
      </c>
    </row>
    <row r="48" spans="1:6" x14ac:dyDescent="0.25">
      <c r="A48" s="37" t="s">
        <v>25</v>
      </c>
      <c r="B48" s="46" t="s">
        <v>64</v>
      </c>
      <c r="C48" s="47">
        <v>2.5000000000000001E-2</v>
      </c>
      <c r="D48" s="48">
        <f>C48*D42</f>
        <v>65.083333333333343</v>
      </c>
    </row>
    <row r="49" spans="1:4" x14ac:dyDescent="0.25">
      <c r="A49" s="37" t="s">
        <v>27</v>
      </c>
      <c r="B49" s="46" t="s">
        <v>65</v>
      </c>
      <c r="C49" s="47">
        <f>3%*2</f>
        <v>0.06</v>
      </c>
      <c r="D49" s="48">
        <f>C49*D42</f>
        <v>156.20000000000002</v>
      </c>
    </row>
    <row r="50" spans="1:4" x14ac:dyDescent="0.25">
      <c r="A50" s="37" t="s">
        <v>29</v>
      </c>
      <c r="B50" s="46" t="s">
        <v>66</v>
      </c>
      <c r="C50" s="47">
        <v>1.4999999999999999E-2</v>
      </c>
      <c r="D50" s="48">
        <f>C50*D42</f>
        <v>39.050000000000004</v>
      </c>
    </row>
    <row r="51" spans="1:4" x14ac:dyDescent="0.25">
      <c r="A51" s="37" t="s">
        <v>48</v>
      </c>
      <c r="B51" s="46" t="s">
        <v>67</v>
      </c>
      <c r="C51" s="47">
        <v>0.01</v>
      </c>
      <c r="D51" s="48">
        <f>C51*D42</f>
        <v>26.033333333333335</v>
      </c>
    </row>
    <row r="52" spans="1:4" x14ac:dyDescent="0.25">
      <c r="A52" s="37" t="s">
        <v>50</v>
      </c>
      <c r="B52" s="46" t="s">
        <v>68</v>
      </c>
      <c r="C52" s="47">
        <v>6.0000000000000001E-3</v>
      </c>
      <c r="D52" s="48">
        <f>C52*D42</f>
        <v>15.620000000000001</v>
      </c>
    </row>
    <row r="53" spans="1:4" x14ac:dyDescent="0.25">
      <c r="A53" s="37" t="s">
        <v>69</v>
      </c>
      <c r="B53" s="46" t="s">
        <v>70</v>
      </c>
      <c r="C53" s="47">
        <v>2E-3</v>
      </c>
      <c r="D53" s="48">
        <f>C53*D42</f>
        <v>5.206666666666667</v>
      </c>
    </row>
    <row r="54" spans="1:4" x14ac:dyDescent="0.25">
      <c r="A54" s="37" t="s">
        <v>71</v>
      </c>
      <c r="B54" s="46" t="s">
        <v>72</v>
      </c>
      <c r="C54" s="47">
        <v>0.08</v>
      </c>
      <c r="D54" s="48">
        <f>C54*D42</f>
        <v>208.26666666666668</v>
      </c>
    </row>
    <row r="55" spans="1:4" ht="15.75" customHeight="1" x14ac:dyDescent="0.25">
      <c r="A55" s="164" t="s">
        <v>73</v>
      </c>
      <c r="B55" s="164"/>
      <c r="C55" s="49">
        <f>SUM(C47:C54)</f>
        <v>0.39800000000000008</v>
      </c>
      <c r="D55" s="50">
        <f>SUM(D47:D54)</f>
        <v>1036.1266666666668</v>
      </c>
    </row>
    <row r="58" spans="1:4" x14ac:dyDescent="0.25">
      <c r="A58" s="166" t="s">
        <v>74</v>
      </c>
      <c r="B58" s="166"/>
      <c r="C58" s="166"/>
      <c r="D58" s="166"/>
    </row>
    <row r="60" spans="1:4" x14ac:dyDescent="0.25">
      <c r="A60" s="36" t="s">
        <v>75</v>
      </c>
      <c r="B60" s="51" t="s">
        <v>76</v>
      </c>
      <c r="C60" s="36" t="s">
        <v>43</v>
      </c>
      <c r="D60" s="36" t="s">
        <v>43</v>
      </c>
    </row>
    <row r="61" spans="1:4" x14ac:dyDescent="0.25">
      <c r="A61" s="37" t="s">
        <v>23</v>
      </c>
      <c r="B61" s="38" t="s">
        <v>77</v>
      </c>
      <c r="C61" s="52">
        <v>4.5</v>
      </c>
      <c r="D61" s="48">
        <f>IF(((C61*44)-(D23*6%))&gt;0,((C61*44)-(D23*6%)),0)</f>
        <v>57.420000000000016</v>
      </c>
    </row>
    <row r="62" spans="1:4" x14ac:dyDescent="0.25">
      <c r="A62" s="37" t="s">
        <v>25</v>
      </c>
      <c r="B62" s="46" t="s">
        <v>132</v>
      </c>
      <c r="C62" s="53">
        <v>495</v>
      </c>
      <c r="D62" s="48">
        <f>C62</f>
        <v>495</v>
      </c>
    </row>
    <row r="63" spans="1:4" x14ac:dyDescent="0.25">
      <c r="A63" s="37" t="s">
        <v>27</v>
      </c>
      <c r="B63" s="46" t="s">
        <v>133</v>
      </c>
      <c r="C63" s="53">
        <f>C62/12</f>
        <v>41.25</v>
      </c>
      <c r="D63" s="48">
        <f>C63</f>
        <v>41.25</v>
      </c>
    </row>
    <row r="64" spans="1:4" ht="15.75" customHeight="1" x14ac:dyDescent="0.25">
      <c r="A64" s="37" t="s">
        <v>29</v>
      </c>
      <c r="B64" s="46" t="s">
        <v>134</v>
      </c>
      <c r="C64" s="53">
        <f>C62/12/2</f>
        <v>20.625</v>
      </c>
      <c r="D64" s="48">
        <f>C64</f>
        <v>20.625</v>
      </c>
    </row>
    <row r="65" spans="1:4" ht="15.75" customHeight="1" x14ac:dyDescent="0.25">
      <c r="A65" s="37" t="s">
        <v>48</v>
      </c>
      <c r="B65" s="46" t="s">
        <v>135</v>
      </c>
      <c r="C65" s="53">
        <v>5.24</v>
      </c>
      <c r="D65" s="48">
        <f>C65*22</f>
        <v>115.28</v>
      </c>
    </row>
    <row r="66" spans="1:4" ht="15.75" customHeight="1" x14ac:dyDescent="0.25">
      <c r="A66" s="37" t="s">
        <v>50</v>
      </c>
      <c r="B66" s="46" t="s">
        <v>136</v>
      </c>
      <c r="C66" s="75">
        <v>34857</v>
      </c>
      <c r="D66" s="48">
        <f>C66*0.012%</f>
        <v>4.1828399999999997</v>
      </c>
    </row>
    <row r="67" spans="1:4" ht="15.75" customHeight="1" x14ac:dyDescent="0.25">
      <c r="A67" s="164" t="s">
        <v>52</v>
      </c>
      <c r="B67" s="164"/>
      <c r="C67" s="164"/>
      <c r="D67" s="54">
        <f>SUM(D61:D66)</f>
        <v>733.7578400000001</v>
      </c>
    </row>
    <row r="70" spans="1:4" x14ac:dyDescent="0.25">
      <c r="A70" s="166" t="s">
        <v>83</v>
      </c>
      <c r="B70" s="166"/>
      <c r="C70" s="166"/>
      <c r="D70" s="166"/>
    </row>
    <row r="72" spans="1:4" ht="15.75" customHeight="1" x14ac:dyDescent="0.25">
      <c r="A72" s="36">
        <v>2</v>
      </c>
      <c r="B72" s="164" t="s">
        <v>84</v>
      </c>
      <c r="C72" s="164"/>
      <c r="D72" s="36" t="s">
        <v>43</v>
      </c>
    </row>
    <row r="73" spans="1:4" ht="15.75" customHeight="1" x14ac:dyDescent="0.25">
      <c r="A73" s="37" t="s">
        <v>55</v>
      </c>
      <c r="B73" s="163" t="s">
        <v>262</v>
      </c>
      <c r="C73" s="163"/>
      <c r="D73" s="48">
        <f>D39</f>
        <v>260.33333333333331</v>
      </c>
    </row>
    <row r="74" spans="1:4" ht="15.75" customHeight="1" x14ac:dyDescent="0.25">
      <c r="A74" s="37" t="s">
        <v>60</v>
      </c>
      <c r="B74" s="163" t="s">
        <v>61</v>
      </c>
      <c r="C74" s="163"/>
      <c r="D74" s="48">
        <f>D55</f>
        <v>1036.1266666666668</v>
      </c>
    </row>
    <row r="75" spans="1:4" ht="15.75" customHeight="1" x14ac:dyDescent="0.25">
      <c r="A75" s="37" t="s">
        <v>75</v>
      </c>
      <c r="B75" s="163" t="s">
        <v>76</v>
      </c>
      <c r="C75" s="163"/>
      <c r="D75" s="48">
        <f>D67</f>
        <v>733.7578400000001</v>
      </c>
    </row>
    <row r="76" spans="1:4" ht="15.75" customHeight="1" x14ac:dyDescent="0.25">
      <c r="A76" s="164" t="s">
        <v>52</v>
      </c>
      <c r="B76" s="164"/>
      <c r="C76" s="164"/>
      <c r="D76" s="54">
        <f>SUM(D73:D75)</f>
        <v>2030.2178400000003</v>
      </c>
    </row>
    <row r="77" spans="1:4" x14ac:dyDescent="0.25">
      <c r="A77" s="55"/>
    </row>
    <row r="79" spans="1:4" x14ac:dyDescent="0.25">
      <c r="A79" s="165" t="s">
        <v>85</v>
      </c>
      <c r="B79" s="165"/>
      <c r="C79" s="165"/>
      <c r="D79" s="165"/>
    </row>
    <row r="81" spans="1:6" x14ac:dyDescent="0.25">
      <c r="A81" s="36">
        <v>3</v>
      </c>
      <c r="B81" s="56" t="s">
        <v>86</v>
      </c>
      <c r="C81" s="36" t="s">
        <v>62</v>
      </c>
      <c r="D81" s="36" t="s">
        <v>43</v>
      </c>
    </row>
    <row r="82" spans="1:6" x14ac:dyDescent="0.25">
      <c r="A82" s="37" t="s">
        <v>23</v>
      </c>
      <c r="B82" s="57" t="s">
        <v>87</v>
      </c>
      <c r="C82" s="47">
        <f>0.05*(1/12)</f>
        <v>4.1666666666666666E-3</v>
      </c>
      <c r="D82" s="48">
        <f>C82*D29</f>
        <v>9.7624999999999993</v>
      </c>
    </row>
    <row r="83" spans="1:6" x14ac:dyDescent="0.25">
      <c r="A83" s="37" t="s">
        <v>25</v>
      </c>
      <c r="B83" s="57" t="s">
        <v>88</v>
      </c>
      <c r="C83" s="47">
        <f>C82*C54</f>
        <v>3.3333333333333332E-4</v>
      </c>
      <c r="D83" s="48">
        <f>C83*D29</f>
        <v>0.78100000000000003</v>
      </c>
    </row>
    <row r="84" spans="1:6" x14ac:dyDescent="0.25">
      <c r="A84" s="37" t="s">
        <v>27</v>
      </c>
      <c r="B84" s="57" t="s">
        <v>89</v>
      </c>
      <c r="C84" s="47">
        <f>0.08*0.4*0.9*(1+2/12+(1/3*1/12))</f>
        <v>3.44E-2</v>
      </c>
      <c r="D84" s="48">
        <f>C84*D29</f>
        <v>80.599199999999996</v>
      </c>
    </row>
    <row r="85" spans="1:6" x14ac:dyDescent="0.25">
      <c r="A85" s="37" t="s">
        <v>29</v>
      </c>
      <c r="B85" s="57" t="s">
        <v>90</v>
      </c>
      <c r="C85" s="58">
        <f>(7/30)/12</f>
        <v>1.9444444444444445E-2</v>
      </c>
      <c r="D85" s="48">
        <f>C85*D29</f>
        <v>45.558333333333337</v>
      </c>
    </row>
    <row r="86" spans="1:6" x14ac:dyDescent="0.25">
      <c r="A86" s="37" t="s">
        <v>48</v>
      </c>
      <c r="B86" s="57" t="s">
        <v>91</v>
      </c>
      <c r="C86" s="58">
        <f>C85*C55</f>
        <v>7.7388888888888906E-3</v>
      </c>
      <c r="D86" s="48">
        <f>C86*D29</f>
        <v>18.132216666666672</v>
      </c>
      <c r="F86" s="60"/>
    </row>
    <row r="87" spans="1:6" x14ac:dyDescent="0.25">
      <c r="A87" s="37" t="s">
        <v>50</v>
      </c>
      <c r="B87" s="57" t="s">
        <v>92</v>
      </c>
      <c r="C87" s="58">
        <f>C85*0.08*0.4</f>
        <v>6.2222222222222236E-4</v>
      </c>
      <c r="D87" s="48">
        <f>C87*D29</f>
        <v>1.4578666666666671</v>
      </c>
    </row>
    <row r="88" spans="1:6" ht="15.75" customHeight="1" x14ac:dyDescent="0.25">
      <c r="A88" s="167" t="s">
        <v>52</v>
      </c>
      <c r="B88" s="167"/>
      <c r="C88" s="49">
        <f>SUM(C82:C87)</f>
        <v>6.6705555555555546E-2</v>
      </c>
      <c r="D88" s="40">
        <f>SUM(D82:D87)</f>
        <v>156.29111666666665</v>
      </c>
    </row>
    <row r="91" spans="1:6" x14ac:dyDescent="0.25">
      <c r="A91" s="165" t="s">
        <v>93</v>
      </c>
      <c r="B91" s="165"/>
      <c r="C91" s="165"/>
      <c r="D91" s="165"/>
    </row>
    <row r="94" spans="1:6" x14ac:dyDescent="0.25">
      <c r="A94" s="166" t="s">
        <v>94</v>
      </c>
      <c r="B94" s="166"/>
      <c r="C94" s="166"/>
      <c r="D94" s="166"/>
    </row>
    <row r="95" spans="1:6" x14ac:dyDescent="0.25">
      <c r="A95" s="42"/>
    </row>
    <row r="96" spans="1:6" x14ac:dyDescent="0.25">
      <c r="A96" s="36" t="s">
        <v>95</v>
      </c>
      <c r="B96" s="61" t="s">
        <v>96</v>
      </c>
      <c r="C96" s="36" t="s">
        <v>62</v>
      </c>
      <c r="D96" s="36" t="s">
        <v>43</v>
      </c>
    </row>
    <row r="97" spans="1:5" x14ac:dyDescent="0.25">
      <c r="A97" s="37" t="s">
        <v>23</v>
      </c>
      <c r="B97" s="57" t="s">
        <v>97</v>
      </c>
      <c r="C97" s="47">
        <f>1/12</f>
        <v>8.3333333333333329E-2</v>
      </c>
      <c r="D97" s="48">
        <f>C97*D29</f>
        <v>195.25</v>
      </c>
    </row>
    <row r="98" spans="1:5" x14ac:dyDescent="0.25">
      <c r="A98" s="37" t="s">
        <v>25</v>
      </c>
      <c r="B98" s="57" t="s">
        <v>98</v>
      </c>
      <c r="C98" s="47">
        <f>1/30/12</f>
        <v>2.7777777777777779E-3</v>
      </c>
      <c r="D98" s="48">
        <f>C98*D29</f>
        <v>6.5083333333333337</v>
      </c>
    </row>
    <row r="99" spans="1:5" x14ac:dyDescent="0.25">
      <c r="A99" s="37" t="s">
        <v>27</v>
      </c>
      <c r="B99" s="57" t="s">
        <v>99</v>
      </c>
      <c r="C99" s="47">
        <f>(5/30/12)*0.015</f>
        <v>2.0833333333333332E-4</v>
      </c>
      <c r="D99" s="48">
        <f>C99*D29</f>
        <v>0.48812499999999998</v>
      </c>
      <c r="E99" s="60"/>
    </row>
    <row r="100" spans="1:5" x14ac:dyDescent="0.25">
      <c r="A100" s="37" t="s">
        <v>29</v>
      </c>
      <c r="B100" s="57" t="s">
        <v>100</v>
      </c>
      <c r="C100" s="47">
        <f>(1/12)*0.0178</f>
        <v>1.4833333333333332E-3</v>
      </c>
      <c r="D100" s="48">
        <f>C100*D29</f>
        <v>3.4754499999999999</v>
      </c>
    </row>
    <row r="101" spans="1:5" x14ac:dyDescent="0.25">
      <c r="A101" s="37" t="s">
        <v>48</v>
      </c>
      <c r="B101" s="57" t="s">
        <v>101</v>
      </c>
      <c r="C101" s="47">
        <f>11.11%*5.28%*50%</f>
        <v>2.9330399999999996E-3</v>
      </c>
      <c r="D101" s="48">
        <f>C101*D29</f>
        <v>6.8721127199999987</v>
      </c>
    </row>
    <row r="102" spans="1:5" x14ac:dyDescent="0.25">
      <c r="A102" s="37" t="s">
        <v>50</v>
      </c>
      <c r="B102" s="57" t="s">
        <v>102</v>
      </c>
      <c r="C102" s="47">
        <f>5/30/12</f>
        <v>1.3888888888888888E-2</v>
      </c>
      <c r="D102" s="48">
        <f>C102*D29</f>
        <v>32.541666666666664</v>
      </c>
    </row>
    <row r="103" spans="1:5" ht="15.75" customHeight="1" x14ac:dyDescent="0.25">
      <c r="A103" s="164" t="s">
        <v>103</v>
      </c>
      <c r="B103" s="164"/>
      <c r="C103" s="49">
        <f>SUM(C97:C102)</f>
        <v>0.10462470666666668</v>
      </c>
      <c r="D103" s="54">
        <f>SUM(D97:D102)</f>
        <v>245.13568771999996</v>
      </c>
    </row>
    <row r="104" spans="1:5" x14ac:dyDescent="0.25">
      <c r="A104" s="26" t="s">
        <v>69</v>
      </c>
      <c r="B104" s="62" t="s">
        <v>104</v>
      </c>
      <c r="C104" s="63">
        <f>C103*C55</f>
        <v>4.1640633253333344E-2</v>
      </c>
      <c r="D104" s="64">
        <f>C104*D29</f>
        <v>97.564003712560023</v>
      </c>
    </row>
    <row r="105" spans="1:5" ht="15.75" customHeight="1" x14ac:dyDescent="0.25">
      <c r="A105" s="164" t="s">
        <v>73</v>
      </c>
      <c r="B105" s="164"/>
      <c r="C105" s="49">
        <f>SUM(C103:C104)</f>
        <v>0.14626533992000001</v>
      </c>
      <c r="D105" s="40">
        <f>SUM(D103:D104)</f>
        <v>342.69969143255997</v>
      </c>
    </row>
    <row r="108" spans="1:5" x14ac:dyDescent="0.25">
      <c r="A108" s="166" t="s">
        <v>105</v>
      </c>
      <c r="B108" s="166"/>
      <c r="C108" s="166"/>
      <c r="D108" s="166"/>
    </row>
    <row r="109" spans="1:5" x14ac:dyDescent="0.25">
      <c r="A109" s="42"/>
    </row>
    <row r="110" spans="1:5" x14ac:dyDescent="0.25">
      <c r="A110" s="36" t="s">
        <v>106</v>
      </c>
      <c r="B110" s="61" t="s">
        <v>107</v>
      </c>
      <c r="C110" s="36" t="s">
        <v>62</v>
      </c>
      <c r="D110" s="36" t="s">
        <v>43</v>
      </c>
    </row>
    <row r="111" spans="1:5" x14ac:dyDescent="0.25">
      <c r="A111" s="37" t="s">
        <v>23</v>
      </c>
      <c r="B111" s="57" t="s">
        <v>108</v>
      </c>
      <c r="C111" s="47">
        <v>0</v>
      </c>
      <c r="D111" s="39">
        <f>C111*D29</f>
        <v>0</v>
      </c>
    </row>
    <row r="112" spans="1:5" ht="15.75" customHeight="1" x14ac:dyDescent="0.25">
      <c r="A112" s="167" t="s">
        <v>52</v>
      </c>
      <c r="B112" s="167"/>
      <c r="C112" s="49">
        <f>SUM(C111)</f>
        <v>0</v>
      </c>
      <c r="D112" s="40">
        <f>SUM(D111)</f>
        <v>0</v>
      </c>
    </row>
    <row r="115" spans="1:4" x14ac:dyDescent="0.25">
      <c r="A115" s="166" t="s">
        <v>109</v>
      </c>
      <c r="B115" s="166"/>
      <c r="C115" s="166"/>
      <c r="D115" s="166"/>
    </row>
    <row r="116" spans="1:4" x14ac:dyDescent="0.25">
      <c r="A116" s="42"/>
    </row>
    <row r="117" spans="1:4" ht="15.75" customHeight="1" x14ac:dyDescent="0.25">
      <c r="A117" s="36">
        <v>4</v>
      </c>
      <c r="B117" s="164" t="s">
        <v>110</v>
      </c>
      <c r="C117" s="164"/>
      <c r="D117" s="36" t="s">
        <v>43</v>
      </c>
    </row>
    <row r="118" spans="1:4" ht="15.75" customHeight="1" x14ac:dyDescent="0.25">
      <c r="A118" s="37" t="s">
        <v>95</v>
      </c>
      <c r="B118" s="163" t="s">
        <v>96</v>
      </c>
      <c r="C118" s="163"/>
      <c r="D118" s="39">
        <f>D105</f>
        <v>342.69969143255997</v>
      </c>
    </row>
    <row r="119" spans="1:4" ht="15.75" customHeight="1" x14ac:dyDescent="0.25">
      <c r="A119" s="37" t="s">
        <v>106</v>
      </c>
      <c r="B119" s="163" t="s">
        <v>107</v>
      </c>
      <c r="C119" s="163"/>
      <c r="D119" s="39">
        <f>D112</f>
        <v>0</v>
      </c>
    </row>
    <row r="120" spans="1:4" ht="15.75" customHeight="1" x14ac:dyDescent="0.25">
      <c r="A120" s="164" t="s">
        <v>52</v>
      </c>
      <c r="B120" s="164"/>
      <c r="C120" s="164"/>
      <c r="D120" s="40">
        <f>SUM(D118:D119)</f>
        <v>342.69969143255997</v>
      </c>
    </row>
    <row r="123" spans="1:4" x14ac:dyDescent="0.25">
      <c r="A123" s="165" t="s">
        <v>111</v>
      </c>
      <c r="B123" s="165"/>
      <c r="C123" s="165"/>
      <c r="D123" s="165"/>
    </row>
    <row r="125" spans="1:4" ht="15.75" customHeight="1" x14ac:dyDescent="0.25">
      <c r="A125" s="36">
        <v>5</v>
      </c>
      <c r="B125" s="164" t="s">
        <v>112</v>
      </c>
      <c r="C125" s="164"/>
      <c r="D125" s="36" t="s">
        <v>43</v>
      </c>
    </row>
    <row r="126" spans="1:4" ht="15.75" customHeight="1" x14ac:dyDescent="0.25">
      <c r="A126" s="37" t="s">
        <v>23</v>
      </c>
      <c r="B126" s="163" t="s">
        <v>113</v>
      </c>
      <c r="C126" s="163"/>
      <c r="D126" s="39">
        <f>Uniformes!H33</f>
        <v>93.009880952380954</v>
      </c>
    </row>
    <row r="127" spans="1:4" ht="15.75" customHeight="1" x14ac:dyDescent="0.25">
      <c r="A127" s="37" t="s">
        <v>25</v>
      </c>
      <c r="B127" s="163" t="s">
        <v>114</v>
      </c>
      <c r="C127" s="163"/>
      <c r="D127" s="65">
        <v>15</v>
      </c>
    </row>
    <row r="128" spans="1:4" ht="15.75" customHeight="1" x14ac:dyDescent="0.25">
      <c r="A128" s="164" t="s">
        <v>73</v>
      </c>
      <c r="B128" s="164"/>
      <c r="C128" s="164"/>
      <c r="D128" s="40">
        <f>SUM(D126:D127)</f>
        <v>108.00988095238095</v>
      </c>
    </row>
    <row r="131" spans="1:7" x14ac:dyDescent="0.25">
      <c r="A131" s="165" t="s">
        <v>115</v>
      </c>
      <c r="B131" s="165"/>
      <c r="C131" s="165"/>
      <c r="D131" s="165"/>
    </row>
    <row r="133" spans="1:7" x14ac:dyDescent="0.25">
      <c r="A133" s="36">
        <v>6</v>
      </c>
      <c r="B133" s="51" t="s">
        <v>116</v>
      </c>
      <c r="C133" s="36" t="s">
        <v>62</v>
      </c>
      <c r="D133" s="36" t="s">
        <v>43</v>
      </c>
    </row>
    <row r="134" spans="1:7" x14ac:dyDescent="0.25">
      <c r="A134" s="26" t="s">
        <v>23</v>
      </c>
      <c r="B134" s="66" t="s">
        <v>117</v>
      </c>
      <c r="C134" s="67">
        <v>0.06</v>
      </c>
      <c r="D134" s="68">
        <f>D151*C134</f>
        <v>298.81311174309644</v>
      </c>
      <c r="E134" s="69"/>
    </row>
    <row r="135" spans="1:7" x14ac:dyDescent="0.25">
      <c r="A135" s="37" t="s">
        <v>25</v>
      </c>
      <c r="B135" s="46" t="s">
        <v>118</v>
      </c>
      <c r="C135" s="70">
        <v>6.7900000000000002E-2</v>
      </c>
      <c r="D135" s="71">
        <f>C135*(D151+D134)</f>
        <v>358.44624840996039</v>
      </c>
    </row>
    <row r="136" spans="1:7" x14ac:dyDescent="0.25">
      <c r="A136" s="37" t="s">
        <v>27</v>
      </c>
      <c r="B136" s="46" t="s">
        <v>119</v>
      </c>
      <c r="C136" s="70">
        <f>SUM(C137:C139)</f>
        <v>6.6500000000000004E-2</v>
      </c>
      <c r="D136" s="71">
        <f>((D151+D134+D135)/(1-C136))*C136</f>
        <v>401.59858557269433</v>
      </c>
    </row>
    <row r="137" spans="1:7" x14ac:dyDescent="0.25">
      <c r="A137" s="37"/>
      <c r="B137" s="46" t="s">
        <v>120</v>
      </c>
      <c r="C137" s="72">
        <f>3.65%</f>
        <v>3.6499999999999998E-2</v>
      </c>
      <c r="D137" s="71">
        <f>((D151+D134+D135)/(1-C136))*C137</f>
        <v>220.42629132937356</v>
      </c>
      <c r="G137" s="76"/>
    </row>
    <row r="138" spans="1:7" x14ac:dyDescent="0.25">
      <c r="A138" s="37"/>
      <c r="B138" s="46" t="s">
        <v>121</v>
      </c>
      <c r="C138" s="70">
        <v>0</v>
      </c>
      <c r="D138" s="71">
        <f>((D151+D134+D135)/(1-C136))*C138</f>
        <v>0</v>
      </c>
      <c r="F138" s="73"/>
    </row>
    <row r="139" spans="1:7" x14ac:dyDescent="0.25">
      <c r="A139" s="37"/>
      <c r="B139" s="46" t="s">
        <v>122</v>
      </c>
      <c r="C139" s="70">
        <v>0.03</v>
      </c>
      <c r="D139" s="71">
        <f>((D151+D134+D135)/(1-C136))*C139</f>
        <v>181.17229424332075</v>
      </c>
    </row>
    <row r="140" spans="1:7" ht="15.75" customHeight="1" x14ac:dyDescent="0.25">
      <c r="A140" s="164" t="s">
        <v>73</v>
      </c>
      <c r="B140" s="164"/>
      <c r="C140" s="49">
        <f>SUM(C134:C136)</f>
        <v>0.19440000000000002</v>
      </c>
      <c r="D140" s="74">
        <f>SUM(D134:D136)</f>
        <v>1058.8579457257511</v>
      </c>
    </row>
    <row r="143" spans="1:7" x14ac:dyDescent="0.25">
      <c r="A143" s="165" t="s">
        <v>123</v>
      </c>
      <c r="B143" s="165"/>
      <c r="C143" s="165"/>
      <c r="D143" s="165"/>
    </row>
    <row r="145" spans="1:4" ht="15.75" customHeight="1" x14ac:dyDescent="0.25">
      <c r="A145" s="36"/>
      <c r="B145" s="164" t="s">
        <v>124</v>
      </c>
      <c r="C145" s="164"/>
      <c r="D145" s="36" t="s">
        <v>43</v>
      </c>
    </row>
    <row r="146" spans="1:4" ht="15.75" customHeight="1" x14ac:dyDescent="0.25">
      <c r="A146" s="36" t="s">
        <v>23</v>
      </c>
      <c r="B146" s="163" t="s">
        <v>41</v>
      </c>
      <c r="C146" s="163"/>
      <c r="D146" s="39">
        <f>D29</f>
        <v>2343</v>
      </c>
    </row>
    <row r="147" spans="1:4" ht="15.75" customHeight="1" x14ac:dyDescent="0.25">
      <c r="A147" s="36" t="s">
        <v>25</v>
      </c>
      <c r="B147" s="163" t="s">
        <v>53</v>
      </c>
      <c r="C147" s="163"/>
      <c r="D147" s="39">
        <f>D76</f>
        <v>2030.2178400000003</v>
      </c>
    </row>
    <row r="148" spans="1:4" ht="15.75" customHeight="1" x14ac:dyDescent="0.25">
      <c r="A148" s="36" t="s">
        <v>27</v>
      </c>
      <c r="B148" s="163" t="s">
        <v>85</v>
      </c>
      <c r="C148" s="163"/>
      <c r="D148" s="39">
        <f>D88</f>
        <v>156.29111666666665</v>
      </c>
    </row>
    <row r="149" spans="1:4" ht="15.75" customHeight="1" x14ac:dyDescent="0.25">
      <c r="A149" s="36" t="s">
        <v>29</v>
      </c>
      <c r="B149" s="163" t="s">
        <v>93</v>
      </c>
      <c r="C149" s="163"/>
      <c r="D149" s="39">
        <f>D120</f>
        <v>342.69969143255997</v>
      </c>
    </row>
    <row r="150" spans="1:4" ht="15.75" customHeight="1" x14ac:dyDescent="0.25">
      <c r="A150" s="36" t="s">
        <v>48</v>
      </c>
      <c r="B150" s="163" t="s">
        <v>111</v>
      </c>
      <c r="C150" s="163"/>
      <c r="D150" s="39">
        <f>D128</f>
        <v>108.00988095238095</v>
      </c>
    </row>
    <row r="151" spans="1:4" ht="15.75" customHeight="1" x14ac:dyDescent="0.25">
      <c r="A151" s="164" t="s">
        <v>125</v>
      </c>
      <c r="B151" s="164"/>
      <c r="C151" s="164"/>
      <c r="D151" s="40">
        <f>SUM(D146:D150)</f>
        <v>4980.2185290516072</v>
      </c>
    </row>
    <row r="152" spans="1:4" ht="15.75" customHeight="1" x14ac:dyDescent="0.25">
      <c r="A152" s="36" t="s">
        <v>50</v>
      </c>
      <c r="B152" s="163" t="s">
        <v>126</v>
      </c>
      <c r="C152" s="163"/>
      <c r="D152" s="39">
        <f>D140</f>
        <v>1058.8579457257511</v>
      </c>
    </row>
    <row r="153" spans="1:4" ht="15.75" customHeight="1" x14ac:dyDescent="0.25">
      <c r="A153" s="164" t="s">
        <v>127</v>
      </c>
      <c r="B153" s="164"/>
      <c r="C153" s="164"/>
      <c r="D153" s="40">
        <f>TRUNC(SUM(D151:D152),2)</f>
        <v>6039.07</v>
      </c>
    </row>
  </sheetData>
  <mergeCells count="71">
    <mergeCell ref="A1:D1"/>
    <mergeCell ref="A2:D2"/>
    <mergeCell ref="A3:D3"/>
    <mergeCell ref="A5:D5"/>
    <mergeCell ref="C7:D7"/>
    <mergeCell ref="C8:D8"/>
    <mergeCell ref="C9:D9"/>
    <mergeCell ref="C10:D10"/>
    <mergeCell ref="C12:D12"/>
    <mergeCell ref="C13:D13"/>
    <mergeCell ref="C14:D14"/>
    <mergeCell ref="C15:D15"/>
    <mergeCell ref="C16:D16"/>
    <mergeCell ref="C17:D17"/>
    <mergeCell ref="C18:D18"/>
    <mergeCell ref="A20:D20"/>
    <mergeCell ref="B22:C22"/>
    <mergeCell ref="B23:C23"/>
    <mergeCell ref="B24:C24"/>
    <mergeCell ref="B25:C25"/>
    <mergeCell ref="B26:C26"/>
    <mergeCell ref="B27:C27"/>
    <mergeCell ref="B28:C28"/>
    <mergeCell ref="A29:C29"/>
    <mergeCell ref="A32:D32"/>
    <mergeCell ref="A34:D34"/>
    <mergeCell ref="B36:C36"/>
    <mergeCell ref="B37:C37"/>
    <mergeCell ref="B38:C38"/>
    <mergeCell ref="A39:C39"/>
    <mergeCell ref="A42:C42"/>
    <mergeCell ref="A44:D44"/>
    <mergeCell ref="A55:B55"/>
    <mergeCell ref="A58:D58"/>
    <mergeCell ref="A67:C67"/>
    <mergeCell ref="A70:D70"/>
    <mergeCell ref="B72:C72"/>
    <mergeCell ref="B73:C73"/>
    <mergeCell ref="B74:C74"/>
    <mergeCell ref="B75:C75"/>
    <mergeCell ref="A76:C76"/>
    <mergeCell ref="A79:D79"/>
    <mergeCell ref="A88:B88"/>
    <mergeCell ref="A91:D91"/>
    <mergeCell ref="A94:D94"/>
    <mergeCell ref="A103:B103"/>
    <mergeCell ref="A105:B105"/>
    <mergeCell ref="A108:D108"/>
    <mergeCell ref="A112:B112"/>
    <mergeCell ref="A115:D115"/>
    <mergeCell ref="B117:C117"/>
    <mergeCell ref="B118:C118"/>
    <mergeCell ref="B119:C119"/>
    <mergeCell ref="A120:C120"/>
    <mergeCell ref="A123:D123"/>
    <mergeCell ref="B125:C125"/>
    <mergeCell ref="B126:C126"/>
    <mergeCell ref="B127:C127"/>
    <mergeCell ref="A128:C128"/>
    <mergeCell ref="A131:D131"/>
    <mergeCell ref="A140:B140"/>
    <mergeCell ref="A143:D143"/>
    <mergeCell ref="B145:C145"/>
    <mergeCell ref="B146:C146"/>
    <mergeCell ref="B147:C147"/>
    <mergeCell ref="A153:C153"/>
    <mergeCell ref="B148:C148"/>
    <mergeCell ref="B149:C149"/>
    <mergeCell ref="B150:C150"/>
    <mergeCell ref="A151:C151"/>
    <mergeCell ref="B152:C152"/>
  </mergeCells>
  <printOptions horizontalCentered="1"/>
  <pageMargins left="0.51180555555555596" right="0.51180555555555596" top="1.1027777777777801" bottom="0.78749999999999998" header="0.78749999999999998" footer="0.511811023622047"/>
  <pageSetup paperSize="9" scale="79" fitToHeight="0" orientation="portrait" horizontalDpi="300" verticalDpi="300" r:id="rId1"/>
  <headerFooter>
    <oddHeader>&amp;C&amp;"Times New Roman,Normal"&amp;12&amp;F - &amp;A - Pág. &amp;P/&amp;N</oddHeader>
  </headerFooter>
  <rowBreaks count="2" manualBreakCount="2">
    <brk id="57" max="16383" man="1"/>
    <brk id="114" max="16383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153"/>
  <sheetViews>
    <sheetView showGridLines="0" topLeftCell="A130" zoomScaleNormal="100" workbookViewId="0">
      <selection activeCell="D126" sqref="D126"/>
    </sheetView>
  </sheetViews>
  <sheetFormatPr defaultColWidth="9.140625" defaultRowHeight="15.75" x14ac:dyDescent="0.25"/>
  <cols>
    <col min="1" max="1" width="9.140625" style="30"/>
    <col min="2" max="2" width="73.42578125" style="30" customWidth="1"/>
    <col min="3" max="4" width="16.85546875" style="30" customWidth="1"/>
    <col min="5" max="5" width="12.7109375" style="30" customWidth="1"/>
    <col min="6" max="6" width="12" style="30" customWidth="1"/>
    <col min="7" max="7" width="15.140625" style="30" customWidth="1"/>
    <col min="8" max="1024" width="9.140625" style="30"/>
  </cols>
  <sheetData>
    <row r="1" spans="1:6" x14ac:dyDescent="0.25">
      <c r="A1" s="160" t="s">
        <v>0</v>
      </c>
      <c r="B1" s="160"/>
      <c r="C1" s="160"/>
      <c r="D1" s="160"/>
    </row>
    <row r="2" spans="1:6" x14ac:dyDescent="0.25">
      <c r="A2" s="160" t="s">
        <v>1</v>
      </c>
      <c r="B2" s="160"/>
      <c r="C2" s="160"/>
      <c r="D2" s="160"/>
    </row>
    <row r="3" spans="1:6" x14ac:dyDescent="0.25">
      <c r="A3" s="177" t="s">
        <v>2</v>
      </c>
      <c r="B3" s="177"/>
      <c r="C3" s="177"/>
      <c r="D3" s="177"/>
    </row>
    <row r="4" spans="1:6" x14ac:dyDescent="0.25">
      <c r="A4" s="31"/>
      <c r="B4" s="31"/>
      <c r="C4" s="31"/>
      <c r="D4" s="31"/>
    </row>
    <row r="5" spans="1:6" ht="24.75" customHeight="1" x14ac:dyDescent="0.25">
      <c r="A5" s="178" t="s">
        <v>3</v>
      </c>
      <c r="B5" s="178"/>
      <c r="C5" s="178"/>
      <c r="D5" s="178"/>
    </row>
    <row r="6" spans="1:6" x14ac:dyDescent="0.25">
      <c r="A6" s="31"/>
      <c r="B6" s="31"/>
      <c r="C6" s="31"/>
      <c r="D6" s="31"/>
    </row>
    <row r="7" spans="1:6" ht="15.75" customHeight="1" x14ac:dyDescent="0.25">
      <c r="A7" s="32" t="s">
        <v>23</v>
      </c>
      <c r="B7" s="33" t="s">
        <v>24</v>
      </c>
      <c r="C7" s="175"/>
      <c r="D7" s="175"/>
    </row>
    <row r="8" spans="1:6" x14ac:dyDescent="0.25">
      <c r="A8" s="32" t="s">
        <v>25</v>
      </c>
      <c r="B8" s="33" t="s">
        <v>26</v>
      </c>
      <c r="C8" s="175"/>
      <c r="D8" s="175"/>
    </row>
    <row r="9" spans="1:6" x14ac:dyDescent="0.25">
      <c r="A9" s="32" t="s">
        <v>27</v>
      </c>
      <c r="B9" s="33" t="s">
        <v>28</v>
      </c>
      <c r="C9" s="175"/>
      <c r="D9" s="175"/>
    </row>
    <row r="10" spans="1:6" x14ac:dyDescent="0.25">
      <c r="A10" s="32" t="s">
        <v>29</v>
      </c>
      <c r="B10" s="33" t="s">
        <v>30</v>
      </c>
      <c r="C10" s="175"/>
      <c r="D10" s="175"/>
    </row>
    <row r="11" spans="1:6" x14ac:dyDescent="0.25">
      <c r="A11" s="34"/>
      <c r="B11" s="35"/>
      <c r="C11" s="34"/>
      <c r="D11" s="34"/>
      <c r="E11" s="34"/>
      <c r="F11" s="34"/>
    </row>
    <row r="12" spans="1:6" ht="32.25" customHeight="1" x14ac:dyDescent="0.25">
      <c r="A12" s="34"/>
      <c r="B12" s="33" t="s">
        <v>31</v>
      </c>
      <c r="C12" s="175" t="s">
        <v>32</v>
      </c>
      <c r="D12" s="175"/>
      <c r="E12" s="34"/>
      <c r="F12" s="34"/>
    </row>
    <row r="13" spans="1:6" ht="15.75" customHeight="1" x14ac:dyDescent="0.25">
      <c r="A13" s="34"/>
      <c r="B13" s="33" t="s">
        <v>33</v>
      </c>
      <c r="C13" s="176" t="s">
        <v>34</v>
      </c>
      <c r="D13" s="176"/>
      <c r="E13" s="34"/>
      <c r="F13" s="34"/>
    </row>
    <row r="14" spans="1:6" ht="54" x14ac:dyDescent="0.25">
      <c r="A14" s="34"/>
      <c r="B14" s="33" t="s">
        <v>137</v>
      </c>
      <c r="C14" s="172">
        <v>1836.16</v>
      </c>
      <c r="D14" s="172"/>
      <c r="E14" s="34"/>
      <c r="F14" s="34"/>
    </row>
    <row r="15" spans="1:6" ht="15.75" customHeight="1" x14ac:dyDescent="0.25">
      <c r="A15" s="34"/>
      <c r="B15" s="33" t="s">
        <v>36</v>
      </c>
      <c r="C15" s="173" t="s">
        <v>37</v>
      </c>
      <c r="D15" s="173"/>
      <c r="E15" s="34"/>
      <c r="F15" s="34"/>
    </row>
    <row r="16" spans="1:6" x14ac:dyDescent="0.25">
      <c r="A16" s="34"/>
      <c r="B16" s="33" t="s">
        <v>38</v>
      </c>
      <c r="C16" s="174">
        <v>44593</v>
      </c>
      <c r="D16" s="174"/>
      <c r="E16" s="34"/>
      <c r="F16" s="34"/>
    </row>
    <row r="17" spans="1:6" ht="15.75" customHeight="1" x14ac:dyDescent="0.25">
      <c r="A17" s="34"/>
      <c r="B17" s="33" t="s">
        <v>39</v>
      </c>
      <c r="C17" s="175" t="s">
        <v>13</v>
      </c>
      <c r="D17" s="175"/>
      <c r="E17" s="34"/>
      <c r="F17" s="34"/>
    </row>
    <row r="18" spans="1:6" x14ac:dyDescent="0.25">
      <c r="A18" s="34"/>
      <c r="B18" s="33" t="s">
        <v>40</v>
      </c>
      <c r="C18" s="175">
        <v>1</v>
      </c>
      <c r="D18" s="175"/>
      <c r="E18" s="34"/>
      <c r="F18" s="34"/>
    </row>
    <row r="20" spans="1:6" x14ac:dyDescent="0.25">
      <c r="A20" s="165" t="s">
        <v>41</v>
      </c>
      <c r="B20" s="165"/>
      <c r="C20" s="165"/>
      <c r="D20" s="165"/>
    </row>
    <row r="22" spans="1:6" ht="15.75" customHeight="1" x14ac:dyDescent="0.25">
      <c r="A22" s="36">
        <v>1</v>
      </c>
      <c r="B22" s="164" t="s">
        <v>42</v>
      </c>
      <c r="C22" s="164"/>
      <c r="D22" s="36" t="s">
        <v>43</v>
      </c>
    </row>
    <row r="23" spans="1:6" ht="15.75" customHeight="1" x14ac:dyDescent="0.25">
      <c r="A23" s="37" t="s">
        <v>23</v>
      </c>
      <c r="B23" s="163" t="s">
        <v>44</v>
      </c>
      <c r="C23" s="163"/>
      <c r="D23" s="39">
        <f>C14</f>
        <v>1836.16</v>
      </c>
    </row>
    <row r="24" spans="1:6" ht="15.75" customHeight="1" x14ac:dyDescent="0.25">
      <c r="A24" s="37" t="s">
        <v>25</v>
      </c>
      <c r="B24" s="163" t="s">
        <v>45</v>
      </c>
      <c r="C24" s="163"/>
      <c r="D24" s="39">
        <v>0</v>
      </c>
    </row>
    <row r="25" spans="1:6" ht="15.75" customHeight="1" x14ac:dyDescent="0.25">
      <c r="A25" s="37" t="s">
        <v>27</v>
      </c>
      <c r="B25" s="163" t="s">
        <v>46</v>
      </c>
      <c r="C25" s="163"/>
      <c r="D25" s="39">
        <v>0</v>
      </c>
    </row>
    <row r="26" spans="1:6" ht="15.75" customHeight="1" x14ac:dyDescent="0.25">
      <c r="A26" s="37" t="s">
        <v>29</v>
      </c>
      <c r="B26" s="163" t="s">
        <v>47</v>
      </c>
      <c r="C26" s="163"/>
      <c r="D26" s="39">
        <v>0</v>
      </c>
    </row>
    <row r="27" spans="1:6" ht="15.75" customHeight="1" x14ac:dyDescent="0.25">
      <c r="A27" s="37" t="s">
        <v>48</v>
      </c>
      <c r="B27" s="163" t="s">
        <v>49</v>
      </c>
      <c r="C27" s="163"/>
      <c r="D27" s="39">
        <v>0</v>
      </c>
    </row>
    <row r="28" spans="1:6" ht="15.75" customHeight="1" x14ac:dyDescent="0.25">
      <c r="A28" s="37" t="s">
        <v>50</v>
      </c>
      <c r="B28" s="163" t="s">
        <v>51</v>
      </c>
      <c r="C28" s="163"/>
      <c r="D28" s="39">
        <v>0</v>
      </c>
    </row>
    <row r="29" spans="1:6" ht="15.75" customHeight="1" x14ac:dyDescent="0.25">
      <c r="A29" s="164" t="s">
        <v>52</v>
      </c>
      <c r="B29" s="164"/>
      <c r="C29" s="164"/>
      <c r="D29" s="40">
        <f>SUM(D23:D28)</f>
        <v>1836.16</v>
      </c>
      <c r="E29" s="41"/>
    </row>
    <row r="32" spans="1:6" x14ac:dyDescent="0.25">
      <c r="A32" s="165" t="s">
        <v>53</v>
      </c>
      <c r="B32" s="165"/>
      <c r="C32" s="165"/>
      <c r="D32" s="165"/>
    </row>
    <row r="33" spans="1:6" x14ac:dyDescent="0.25">
      <c r="A33" s="42"/>
    </row>
    <row r="34" spans="1:6" x14ac:dyDescent="0.25">
      <c r="A34" s="166" t="s">
        <v>54</v>
      </c>
      <c r="B34" s="166"/>
      <c r="C34" s="166"/>
      <c r="D34" s="166"/>
    </row>
    <row r="36" spans="1:6" ht="15.75" customHeight="1" x14ac:dyDescent="0.25">
      <c r="A36" s="36" t="s">
        <v>55</v>
      </c>
      <c r="B36" s="164" t="s">
        <v>56</v>
      </c>
      <c r="C36" s="164"/>
      <c r="D36" s="36" t="s">
        <v>43</v>
      </c>
    </row>
    <row r="37" spans="1:6" ht="15.75" customHeight="1" x14ac:dyDescent="0.25">
      <c r="A37" s="37" t="s">
        <v>23</v>
      </c>
      <c r="B37" s="163" t="s">
        <v>57</v>
      </c>
      <c r="C37" s="163"/>
      <c r="D37" s="39">
        <f>D29/12</f>
        <v>153.01333333333335</v>
      </c>
    </row>
    <row r="38" spans="1:6" ht="15.75" customHeight="1" x14ac:dyDescent="0.25">
      <c r="A38" s="149" t="s">
        <v>25</v>
      </c>
      <c r="B38" s="171" t="s">
        <v>261</v>
      </c>
      <c r="C38" s="171"/>
      <c r="D38" s="150">
        <f>((D29/3)/12)</f>
        <v>51.004444444444452</v>
      </c>
    </row>
    <row r="39" spans="1:6" ht="15.75" customHeight="1" x14ac:dyDescent="0.25">
      <c r="A39" s="164" t="s">
        <v>52</v>
      </c>
      <c r="B39" s="164"/>
      <c r="C39" s="164"/>
      <c r="D39" s="40">
        <f>SUM(D37:D38)</f>
        <v>204.01777777777781</v>
      </c>
      <c r="F39" s="43"/>
    </row>
    <row r="40" spans="1:6" ht="15.75" customHeight="1" x14ac:dyDescent="0.25">
      <c r="A40" s="44"/>
      <c r="B40" s="44"/>
      <c r="C40" s="44"/>
      <c r="D40" s="45"/>
      <c r="F40" s="43"/>
    </row>
    <row r="41" spans="1:6" ht="15.75" customHeight="1" x14ac:dyDescent="0.25">
      <c r="F41" s="43"/>
    </row>
    <row r="42" spans="1:6" x14ac:dyDescent="0.25">
      <c r="A42" s="168" t="s">
        <v>58</v>
      </c>
      <c r="B42" s="168"/>
      <c r="C42" s="168"/>
      <c r="D42" s="40">
        <f>D29+D39</f>
        <v>2040.1777777777779</v>
      </c>
    </row>
    <row r="44" spans="1:6" ht="15.75" customHeight="1" x14ac:dyDescent="0.25">
      <c r="A44" s="169" t="s">
        <v>59</v>
      </c>
      <c r="B44" s="169"/>
      <c r="C44" s="169"/>
      <c r="D44" s="169"/>
    </row>
    <row r="46" spans="1:6" x14ac:dyDescent="0.25">
      <c r="A46" s="36" t="s">
        <v>60</v>
      </c>
      <c r="B46" s="36" t="s">
        <v>61</v>
      </c>
      <c r="C46" s="36" t="s">
        <v>62</v>
      </c>
      <c r="D46" s="36" t="s">
        <v>43</v>
      </c>
    </row>
    <row r="47" spans="1:6" x14ac:dyDescent="0.25">
      <c r="A47" s="37" t="s">
        <v>23</v>
      </c>
      <c r="B47" s="46" t="s">
        <v>63</v>
      </c>
      <c r="C47" s="47">
        <v>0.2</v>
      </c>
      <c r="D47" s="48">
        <f>C47*D42</f>
        <v>408.03555555555562</v>
      </c>
    </row>
    <row r="48" spans="1:6" x14ac:dyDescent="0.25">
      <c r="A48" s="37" t="s">
        <v>25</v>
      </c>
      <c r="B48" s="46" t="s">
        <v>64</v>
      </c>
      <c r="C48" s="47">
        <v>2.5000000000000001E-2</v>
      </c>
      <c r="D48" s="48">
        <f>C48*D42</f>
        <v>51.004444444444452</v>
      </c>
    </row>
    <row r="49" spans="1:4" x14ac:dyDescent="0.25">
      <c r="A49" s="37" t="s">
        <v>27</v>
      </c>
      <c r="B49" s="46" t="s">
        <v>65</v>
      </c>
      <c r="C49" s="47">
        <f>3%*2</f>
        <v>0.06</v>
      </c>
      <c r="D49" s="48">
        <f>C49*D42</f>
        <v>122.41066666666667</v>
      </c>
    </row>
    <row r="50" spans="1:4" x14ac:dyDescent="0.25">
      <c r="A50" s="37" t="s">
        <v>29</v>
      </c>
      <c r="B50" s="46" t="s">
        <v>66</v>
      </c>
      <c r="C50" s="47">
        <v>1.4999999999999999E-2</v>
      </c>
      <c r="D50" s="48">
        <f>C50*D42</f>
        <v>30.602666666666668</v>
      </c>
    </row>
    <row r="51" spans="1:4" x14ac:dyDescent="0.25">
      <c r="A51" s="37" t="s">
        <v>48</v>
      </c>
      <c r="B51" s="46" t="s">
        <v>67</v>
      </c>
      <c r="C51" s="47">
        <v>0.01</v>
      </c>
      <c r="D51" s="48">
        <f>C51*D42</f>
        <v>20.401777777777781</v>
      </c>
    </row>
    <row r="52" spans="1:4" x14ac:dyDescent="0.25">
      <c r="A52" s="37" t="s">
        <v>50</v>
      </c>
      <c r="B52" s="46" t="s">
        <v>68</v>
      </c>
      <c r="C52" s="47">
        <v>6.0000000000000001E-3</v>
      </c>
      <c r="D52" s="48">
        <f>C52*D42</f>
        <v>12.241066666666669</v>
      </c>
    </row>
    <row r="53" spans="1:4" x14ac:dyDescent="0.25">
      <c r="A53" s="37" t="s">
        <v>69</v>
      </c>
      <c r="B53" s="46" t="s">
        <v>70</v>
      </c>
      <c r="C53" s="47">
        <v>2E-3</v>
      </c>
      <c r="D53" s="48">
        <f>C53*D42</f>
        <v>4.0803555555555562</v>
      </c>
    </row>
    <row r="54" spans="1:4" x14ac:dyDescent="0.25">
      <c r="A54" s="37" t="s">
        <v>71</v>
      </c>
      <c r="B54" s="46" t="s">
        <v>72</v>
      </c>
      <c r="C54" s="47">
        <v>0.08</v>
      </c>
      <c r="D54" s="48">
        <f>C54*D42</f>
        <v>163.21422222222225</v>
      </c>
    </row>
    <row r="55" spans="1:4" ht="15.75" customHeight="1" x14ac:dyDescent="0.25">
      <c r="A55" s="164" t="s">
        <v>73</v>
      </c>
      <c r="B55" s="164"/>
      <c r="C55" s="49">
        <f>SUM(C47:C54)</f>
        <v>0.39800000000000008</v>
      </c>
      <c r="D55" s="50">
        <f>SUM(D47:D54)</f>
        <v>811.99075555555567</v>
      </c>
    </row>
    <row r="58" spans="1:4" x14ac:dyDescent="0.25">
      <c r="A58" s="166" t="s">
        <v>74</v>
      </c>
      <c r="B58" s="166"/>
      <c r="C58" s="166"/>
      <c r="D58" s="166"/>
    </row>
    <row r="60" spans="1:4" x14ac:dyDescent="0.25">
      <c r="A60" s="36" t="s">
        <v>75</v>
      </c>
      <c r="B60" s="51" t="s">
        <v>76</v>
      </c>
      <c r="C60" s="36" t="s">
        <v>43</v>
      </c>
      <c r="D60" s="36" t="s">
        <v>43</v>
      </c>
    </row>
    <row r="61" spans="1:4" x14ac:dyDescent="0.25">
      <c r="A61" s="37" t="s">
        <v>23</v>
      </c>
      <c r="B61" s="38" t="s">
        <v>77</v>
      </c>
      <c r="C61" s="52">
        <v>5.5</v>
      </c>
      <c r="D61" s="48">
        <f>IF(((C61*44)-(D23*6%))&gt;0,((C61*44)-(D23*6%)),0)</f>
        <v>131.8304</v>
      </c>
    </row>
    <row r="62" spans="1:4" x14ac:dyDescent="0.25">
      <c r="A62" s="37" t="s">
        <v>25</v>
      </c>
      <c r="B62" s="46" t="s">
        <v>78</v>
      </c>
      <c r="C62" s="53">
        <v>500.85</v>
      </c>
      <c r="D62" s="48">
        <f>C62*0.8</f>
        <v>400.68000000000006</v>
      </c>
    </row>
    <row r="63" spans="1:4" ht="15.75" customHeight="1" x14ac:dyDescent="0.25">
      <c r="A63" s="37" t="s">
        <v>27</v>
      </c>
      <c r="B63" s="163" t="s">
        <v>79</v>
      </c>
      <c r="C63" s="163"/>
      <c r="D63" s="48">
        <f>D62/12</f>
        <v>33.390000000000008</v>
      </c>
    </row>
    <row r="64" spans="1:4" ht="15.75" customHeight="1" x14ac:dyDescent="0.25">
      <c r="A64" s="37" t="s">
        <v>29</v>
      </c>
      <c r="B64" s="163" t="s">
        <v>80</v>
      </c>
      <c r="C64" s="163"/>
      <c r="D64" s="48">
        <v>71.5</v>
      </c>
    </row>
    <row r="65" spans="1:4" ht="15.75" customHeight="1" x14ac:dyDescent="0.25">
      <c r="A65" s="37" t="s">
        <v>48</v>
      </c>
      <c r="B65" s="163" t="s">
        <v>81</v>
      </c>
      <c r="C65" s="163"/>
      <c r="D65" s="48">
        <v>23.5</v>
      </c>
    </row>
    <row r="66" spans="1:4" ht="15.75" customHeight="1" x14ac:dyDescent="0.25">
      <c r="A66" s="37" t="s">
        <v>50</v>
      </c>
      <c r="B66" s="163" t="s">
        <v>82</v>
      </c>
      <c r="C66" s="163"/>
      <c r="D66" s="48">
        <v>23.5</v>
      </c>
    </row>
    <row r="67" spans="1:4" ht="15.75" customHeight="1" x14ac:dyDescent="0.25">
      <c r="A67" s="164" t="s">
        <v>52</v>
      </c>
      <c r="B67" s="164"/>
      <c r="C67" s="164"/>
      <c r="D67" s="54">
        <f>SUM(D61:D66)</f>
        <v>684.4004000000001</v>
      </c>
    </row>
    <row r="70" spans="1:4" x14ac:dyDescent="0.25">
      <c r="A70" s="166" t="s">
        <v>83</v>
      </c>
      <c r="B70" s="166"/>
      <c r="C70" s="166"/>
      <c r="D70" s="166"/>
    </row>
    <row r="72" spans="1:4" ht="15.75" customHeight="1" x14ac:dyDescent="0.25">
      <c r="A72" s="36">
        <v>2</v>
      </c>
      <c r="B72" s="164" t="s">
        <v>84</v>
      </c>
      <c r="C72" s="164"/>
      <c r="D72" s="36" t="s">
        <v>43</v>
      </c>
    </row>
    <row r="73" spans="1:4" ht="15.75" customHeight="1" x14ac:dyDescent="0.25">
      <c r="A73" s="37" t="s">
        <v>55</v>
      </c>
      <c r="B73" s="163" t="s">
        <v>262</v>
      </c>
      <c r="C73" s="163"/>
      <c r="D73" s="48">
        <f>D39</f>
        <v>204.01777777777781</v>
      </c>
    </row>
    <row r="74" spans="1:4" ht="15.75" customHeight="1" x14ac:dyDescent="0.25">
      <c r="A74" s="37" t="s">
        <v>60</v>
      </c>
      <c r="B74" s="163" t="s">
        <v>61</v>
      </c>
      <c r="C74" s="163"/>
      <c r="D74" s="48">
        <f>D55</f>
        <v>811.99075555555567</v>
      </c>
    </row>
    <row r="75" spans="1:4" ht="15.75" customHeight="1" x14ac:dyDescent="0.25">
      <c r="A75" s="37" t="s">
        <v>75</v>
      </c>
      <c r="B75" s="163" t="s">
        <v>76</v>
      </c>
      <c r="C75" s="163"/>
      <c r="D75" s="48">
        <f>D67</f>
        <v>684.4004000000001</v>
      </c>
    </row>
    <row r="76" spans="1:4" ht="15.75" customHeight="1" x14ac:dyDescent="0.25">
      <c r="A76" s="164" t="s">
        <v>52</v>
      </c>
      <c r="B76" s="164"/>
      <c r="C76" s="164"/>
      <c r="D76" s="54">
        <f>SUM(D73:D75)</f>
        <v>1700.4089333333336</v>
      </c>
    </row>
    <row r="77" spans="1:4" x14ac:dyDescent="0.25">
      <c r="A77" s="55"/>
    </row>
    <row r="79" spans="1:4" x14ac:dyDescent="0.25">
      <c r="A79" s="165" t="s">
        <v>85</v>
      </c>
      <c r="B79" s="165"/>
      <c r="C79" s="165"/>
      <c r="D79" s="165"/>
    </row>
    <row r="81" spans="1:6" x14ac:dyDescent="0.25">
      <c r="A81" s="36">
        <v>3</v>
      </c>
      <c r="B81" s="56" t="s">
        <v>86</v>
      </c>
      <c r="C81" s="36" t="s">
        <v>62</v>
      </c>
      <c r="D81" s="36" t="s">
        <v>43</v>
      </c>
    </row>
    <row r="82" spans="1:6" x14ac:dyDescent="0.25">
      <c r="A82" s="37" t="s">
        <v>23</v>
      </c>
      <c r="B82" s="57" t="s">
        <v>87</v>
      </c>
      <c r="C82" s="47">
        <f>0.05*(1/12)</f>
        <v>4.1666666666666666E-3</v>
      </c>
      <c r="D82" s="48">
        <f>C82*D29</f>
        <v>7.6506666666666669</v>
      </c>
    </row>
    <row r="83" spans="1:6" x14ac:dyDescent="0.25">
      <c r="A83" s="37" t="s">
        <v>25</v>
      </c>
      <c r="B83" s="57" t="s">
        <v>88</v>
      </c>
      <c r="C83" s="47">
        <f>C82*C54</f>
        <v>3.3333333333333332E-4</v>
      </c>
      <c r="D83" s="48">
        <f>C83*D29</f>
        <v>0.61205333333333334</v>
      </c>
    </row>
    <row r="84" spans="1:6" x14ac:dyDescent="0.25">
      <c r="A84" s="37" t="s">
        <v>27</v>
      </c>
      <c r="B84" s="57" t="s">
        <v>89</v>
      </c>
      <c r="C84" s="47">
        <f>0.08*0.4*0.9*(1+2/12+(1/3*1/12))</f>
        <v>3.44E-2</v>
      </c>
      <c r="D84" s="48">
        <f>C84*D29</f>
        <v>63.163904000000002</v>
      </c>
    </row>
    <row r="85" spans="1:6" x14ac:dyDescent="0.25">
      <c r="A85" s="37" t="s">
        <v>29</v>
      </c>
      <c r="B85" s="57" t="s">
        <v>90</v>
      </c>
      <c r="C85" s="58">
        <f>(7/30)/12</f>
        <v>1.9444444444444445E-2</v>
      </c>
      <c r="D85" s="48">
        <f>C85*D29</f>
        <v>35.703111111111113</v>
      </c>
    </row>
    <row r="86" spans="1:6" x14ac:dyDescent="0.25">
      <c r="A86" s="37" t="s">
        <v>48</v>
      </c>
      <c r="B86" s="57" t="s">
        <v>91</v>
      </c>
      <c r="C86" s="58">
        <f>C85*C55</f>
        <v>7.7388888888888906E-3</v>
      </c>
      <c r="D86" s="48">
        <f>C86*D29</f>
        <v>14.209838222222226</v>
      </c>
      <c r="F86" s="60"/>
    </row>
    <row r="87" spans="1:6" x14ac:dyDescent="0.25">
      <c r="A87" s="37" t="s">
        <v>50</v>
      </c>
      <c r="B87" s="57" t="s">
        <v>92</v>
      </c>
      <c r="C87" s="58">
        <f>C85*0.08*0.4</f>
        <v>6.2222222222222236E-4</v>
      </c>
      <c r="D87" s="48">
        <f>C87*D29</f>
        <v>1.1424995555555559</v>
      </c>
    </row>
    <row r="88" spans="1:6" ht="15.75" customHeight="1" x14ac:dyDescent="0.25">
      <c r="A88" s="167" t="s">
        <v>52</v>
      </c>
      <c r="B88" s="167"/>
      <c r="C88" s="49">
        <f>SUM(C82:C87)</f>
        <v>6.6705555555555546E-2</v>
      </c>
      <c r="D88" s="40">
        <f>SUM(D82:D87)</f>
        <v>122.48207288888891</v>
      </c>
    </row>
    <row r="91" spans="1:6" x14ac:dyDescent="0.25">
      <c r="A91" s="165" t="s">
        <v>93</v>
      </c>
      <c r="B91" s="165"/>
      <c r="C91" s="165"/>
      <c r="D91" s="165"/>
    </row>
    <row r="94" spans="1:6" x14ac:dyDescent="0.25">
      <c r="A94" s="166" t="s">
        <v>94</v>
      </c>
      <c r="B94" s="166"/>
      <c r="C94" s="166"/>
      <c r="D94" s="166"/>
    </row>
    <row r="95" spans="1:6" x14ac:dyDescent="0.25">
      <c r="A95" s="42"/>
    </row>
    <row r="96" spans="1:6" x14ac:dyDescent="0.25">
      <c r="A96" s="36" t="s">
        <v>95</v>
      </c>
      <c r="B96" s="61" t="s">
        <v>96</v>
      </c>
      <c r="C96" s="36" t="s">
        <v>62</v>
      </c>
      <c r="D96" s="36" t="s">
        <v>43</v>
      </c>
    </row>
    <row r="97" spans="1:5" x14ac:dyDescent="0.25">
      <c r="A97" s="37" t="s">
        <v>23</v>
      </c>
      <c r="B97" s="57" t="s">
        <v>97</v>
      </c>
      <c r="C97" s="47">
        <f>1/12</f>
        <v>8.3333333333333329E-2</v>
      </c>
      <c r="D97" s="48">
        <f>C97*D29</f>
        <v>153.01333333333332</v>
      </c>
    </row>
    <row r="98" spans="1:5" x14ac:dyDescent="0.25">
      <c r="A98" s="37" t="s">
        <v>25</v>
      </c>
      <c r="B98" s="57" t="s">
        <v>98</v>
      </c>
      <c r="C98" s="47">
        <f>1/30/12</f>
        <v>2.7777777777777779E-3</v>
      </c>
      <c r="D98" s="48">
        <f>C98*D29</f>
        <v>5.1004444444444452</v>
      </c>
    </row>
    <row r="99" spans="1:5" x14ac:dyDescent="0.25">
      <c r="A99" s="37" t="s">
        <v>27</v>
      </c>
      <c r="B99" s="57" t="s">
        <v>99</v>
      </c>
      <c r="C99" s="47">
        <f>(5/30/12)*0.015</f>
        <v>2.0833333333333332E-4</v>
      </c>
      <c r="D99" s="48">
        <f>C99*D29</f>
        <v>0.38253333333333334</v>
      </c>
      <c r="E99" s="60"/>
    </row>
    <row r="100" spans="1:5" x14ac:dyDescent="0.25">
      <c r="A100" s="37" t="s">
        <v>29</v>
      </c>
      <c r="B100" s="57" t="s">
        <v>100</v>
      </c>
      <c r="C100" s="47">
        <f>(1/12)*0.0178</f>
        <v>1.4833333333333332E-3</v>
      </c>
      <c r="D100" s="48">
        <f>C100*D29</f>
        <v>2.7236373333333335</v>
      </c>
    </row>
    <row r="101" spans="1:5" x14ac:dyDescent="0.25">
      <c r="A101" s="37" t="s">
        <v>48</v>
      </c>
      <c r="B101" s="57" t="s">
        <v>101</v>
      </c>
      <c r="C101" s="47">
        <f>11.11%*5.28%*50%</f>
        <v>2.9330399999999996E-3</v>
      </c>
      <c r="D101" s="48">
        <f>C101*D29</f>
        <v>5.3855307263999999</v>
      </c>
    </row>
    <row r="102" spans="1:5" x14ac:dyDescent="0.25">
      <c r="A102" s="37" t="s">
        <v>50</v>
      </c>
      <c r="B102" s="57" t="s">
        <v>102</v>
      </c>
      <c r="C102" s="47">
        <f>5/30/12</f>
        <v>1.3888888888888888E-2</v>
      </c>
      <c r="D102" s="48">
        <f>C102*D29</f>
        <v>25.502222222222223</v>
      </c>
    </row>
    <row r="103" spans="1:5" ht="15.75" customHeight="1" x14ac:dyDescent="0.25">
      <c r="A103" s="164" t="s">
        <v>103</v>
      </c>
      <c r="B103" s="164"/>
      <c r="C103" s="49">
        <f>SUM(C97:C102)</f>
        <v>0.10462470666666668</v>
      </c>
      <c r="D103" s="54">
        <f>SUM(D97:D102)</f>
        <v>192.10770139306663</v>
      </c>
    </row>
    <row r="104" spans="1:5" x14ac:dyDescent="0.25">
      <c r="A104" s="26" t="s">
        <v>69</v>
      </c>
      <c r="B104" s="62" t="s">
        <v>104</v>
      </c>
      <c r="C104" s="63">
        <f>C103*C55</f>
        <v>4.1640633253333344E-2</v>
      </c>
      <c r="D104" s="64">
        <f>C104*D29</f>
        <v>76.458865154440559</v>
      </c>
    </row>
    <row r="105" spans="1:5" ht="15.75" customHeight="1" x14ac:dyDescent="0.25">
      <c r="A105" s="164" t="s">
        <v>73</v>
      </c>
      <c r="B105" s="164"/>
      <c r="C105" s="49">
        <f>SUM(C103:C104)</f>
        <v>0.14626533992000001</v>
      </c>
      <c r="D105" s="40">
        <f>SUM(D103:D104)</f>
        <v>268.56656654750719</v>
      </c>
    </row>
    <row r="108" spans="1:5" x14ac:dyDescent="0.25">
      <c r="A108" s="166" t="s">
        <v>105</v>
      </c>
      <c r="B108" s="166"/>
      <c r="C108" s="166"/>
      <c r="D108" s="166"/>
    </row>
    <row r="109" spans="1:5" x14ac:dyDescent="0.25">
      <c r="A109" s="42"/>
    </row>
    <row r="110" spans="1:5" x14ac:dyDescent="0.25">
      <c r="A110" s="36" t="s">
        <v>106</v>
      </c>
      <c r="B110" s="61" t="s">
        <v>107</v>
      </c>
      <c r="C110" s="36" t="s">
        <v>62</v>
      </c>
      <c r="D110" s="36" t="s">
        <v>43</v>
      </c>
    </row>
    <row r="111" spans="1:5" x14ac:dyDescent="0.25">
      <c r="A111" s="37" t="s">
        <v>23</v>
      </c>
      <c r="B111" s="57" t="s">
        <v>108</v>
      </c>
      <c r="C111" s="47">
        <v>0</v>
      </c>
      <c r="D111" s="39">
        <f>C111*D29</f>
        <v>0</v>
      </c>
    </row>
    <row r="112" spans="1:5" ht="15.75" customHeight="1" x14ac:dyDescent="0.25">
      <c r="A112" s="167" t="s">
        <v>52</v>
      </c>
      <c r="B112" s="167"/>
      <c r="C112" s="49">
        <f>SUM(C111)</f>
        <v>0</v>
      </c>
      <c r="D112" s="40">
        <f>SUM(D111)</f>
        <v>0</v>
      </c>
    </row>
    <row r="115" spans="1:4" x14ac:dyDescent="0.25">
      <c r="A115" s="166" t="s">
        <v>109</v>
      </c>
      <c r="B115" s="166"/>
      <c r="C115" s="166"/>
      <c r="D115" s="166"/>
    </row>
    <row r="116" spans="1:4" x14ac:dyDescent="0.25">
      <c r="A116" s="42"/>
    </row>
    <row r="117" spans="1:4" ht="15.75" customHeight="1" x14ac:dyDescent="0.25">
      <c r="A117" s="36">
        <v>4</v>
      </c>
      <c r="B117" s="164" t="s">
        <v>110</v>
      </c>
      <c r="C117" s="164"/>
      <c r="D117" s="36" t="s">
        <v>43</v>
      </c>
    </row>
    <row r="118" spans="1:4" ht="15.75" customHeight="1" x14ac:dyDescent="0.25">
      <c r="A118" s="37" t="s">
        <v>95</v>
      </c>
      <c r="B118" s="163" t="s">
        <v>96</v>
      </c>
      <c r="C118" s="163"/>
      <c r="D118" s="39">
        <f>D105</f>
        <v>268.56656654750719</v>
      </c>
    </row>
    <row r="119" spans="1:4" ht="15.75" customHeight="1" x14ac:dyDescent="0.25">
      <c r="A119" s="37" t="s">
        <v>106</v>
      </c>
      <c r="B119" s="163" t="s">
        <v>107</v>
      </c>
      <c r="C119" s="163"/>
      <c r="D119" s="39">
        <f>D112</f>
        <v>0</v>
      </c>
    </row>
    <row r="120" spans="1:4" ht="15.75" customHeight="1" x14ac:dyDescent="0.25">
      <c r="A120" s="164" t="s">
        <v>52</v>
      </c>
      <c r="B120" s="164"/>
      <c r="C120" s="164"/>
      <c r="D120" s="40">
        <f>SUM(D118:D119)</f>
        <v>268.56656654750719</v>
      </c>
    </row>
    <row r="123" spans="1:4" x14ac:dyDescent="0.25">
      <c r="A123" s="165" t="s">
        <v>111</v>
      </c>
      <c r="B123" s="165"/>
      <c r="C123" s="165"/>
      <c r="D123" s="165"/>
    </row>
    <row r="125" spans="1:4" ht="15.75" customHeight="1" x14ac:dyDescent="0.25">
      <c r="A125" s="36">
        <v>5</v>
      </c>
      <c r="B125" s="164" t="s">
        <v>112</v>
      </c>
      <c r="C125" s="164"/>
      <c r="D125" s="36" t="s">
        <v>43</v>
      </c>
    </row>
    <row r="126" spans="1:4" ht="15.75" customHeight="1" x14ac:dyDescent="0.25">
      <c r="A126" s="37" t="s">
        <v>23</v>
      </c>
      <c r="B126" s="163" t="s">
        <v>113</v>
      </c>
      <c r="C126" s="163"/>
      <c r="D126" s="39">
        <f>Uniformes!H18</f>
        <v>109.36821428571427</v>
      </c>
    </row>
    <row r="127" spans="1:4" ht="15.75" customHeight="1" x14ac:dyDescent="0.25">
      <c r="A127" s="37" t="s">
        <v>25</v>
      </c>
      <c r="B127" s="163" t="s">
        <v>114</v>
      </c>
      <c r="C127" s="163"/>
      <c r="D127" s="65">
        <v>15</v>
      </c>
    </row>
    <row r="128" spans="1:4" ht="15.75" customHeight="1" x14ac:dyDescent="0.25">
      <c r="A128" s="164" t="s">
        <v>73</v>
      </c>
      <c r="B128" s="164"/>
      <c r="C128" s="164"/>
      <c r="D128" s="40">
        <f>SUM(D126:D127)</f>
        <v>124.36821428571427</v>
      </c>
    </row>
    <row r="131" spans="1:6" x14ac:dyDescent="0.25">
      <c r="A131" s="165" t="s">
        <v>115</v>
      </c>
      <c r="B131" s="165"/>
      <c r="C131" s="165"/>
      <c r="D131" s="165"/>
    </row>
    <row r="133" spans="1:6" x14ac:dyDescent="0.25">
      <c r="A133" s="36">
        <v>6</v>
      </c>
      <c r="B133" s="51" t="s">
        <v>116</v>
      </c>
      <c r="C133" s="36" t="s">
        <v>62</v>
      </c>
      <c r="D133" s="36" t="s">
        <v>43</v>
      </c>
    </row>
    <row r="134" spans="1:6" x14ac:dyDescent="0.25">
      <c r="A134" s="26" t="s">
        <v>23</v>
      </c>
      <c r="B134" s="66" t="s">
        <v>117</v>
      </c>
      <c r="C134" s="67">
        <v>0.06</v>
      </c>
      <c r="D134" s="68">
        <f>D151*C134</f>
        <v>243.11914722332665</v>
      </c>
      <c r="E134" s="69"/>
    </row>
    <row r="135" spans="1:6" x14ac:dyDescent="0.25">
      <c r="A135" s="37" t="s">
        <v>25</v>
      </c>
      <c r="B135" s="46" t="s">
        <v>118</v>
      </c>
      <c r="C135" s="70">
        <v>6.7900000000000002E-2</v>
      </c>
      <c r="D135" s="71">
        <f>C135*(D151+D134)</f>
        <v>291.63762503752855</v>
      </c>
    </row>
    <row r="136" spans="1:6" x14ac:dyDescent="0.25">
      <c r="A136" s="37" t="s">
        <v>27</v>
      </c>
      <c r="B136" s="46" t="s">
        <v>119</v>
      </c>
      <c r="C136" s="70">
        <f>SUM(C137:C139)</f>
        <v>8.6499999999999994E-2</v>
      </c>
      <c r="D136" s="71">
        <f>((D151+D134+D135)/(1-C136))*C136</f>
        <v>434.32209237094679</v>
      </c>
    </row>
    <row r="137" spans="1:6" x14ac:dyDescent="0.25">
      <c r="A137" s="37"/>
      <c r="B137" s="46" t="s">
        <v>120</v>
      </c>
      <c r="C137" s="72">
        <f>3.65%</f>
        <v>3.6499999999999998E-2</v>
      </c>
      <c r="D137" s="71">
        <f>((D151+D134+D135)/(1-C136))*C137</f>
        <v>183.2688597865845</v>
      </c>
    </row>
    <row r="138" spans="1:6" x14ac:dyDescent="0.25">
      <c r="A138" s="37"/>
      <c r="B138" s="46" t="s">
        <v>121</v>
      </c>
      <c r="C138" s="70">
        <v>0</v>
      </c>
      <c r="D138" s="71">
        <f>((D151+D134+D135)/(1-C136))*C138</f>
        <v>0</v>
      </c>
      <c r="F138" s="73"/>
    </row>
    <row r="139" spans="1:6" x14ac:dyDescent="0.25">
      <c r="A139" s="37"/>
      <c r="B139" s="46" t="s">
        <v>122</v>
      </c>
      <c r="C139" s="70">
        <v>0.05</v>
      </c>
      <c r="D139" s="71">
        <f>((D151+D134+D135)/(1-C136))*C139</f>
        <v>251.05323258436235</v>
      </c>
    </row>
    <row r="140" spans="1:6" ht="15.75" customHeight="1" x14ac:dyDescent="0.25">
      <c r="A140" s="164" t="s">
        <v>73</v>
      </c>
      <c r="B140" s="164"/>
      <c r="C140" s="49">
        <f>SUM(C134:C136)</f>
        <v>0.21440000000000001</v>
      </c>
      <c r="D140" s="74">
        <f>SUM(D134:D136)</f>
        <v>969.07886463180193</v>
      </c>
    </row>
    <row r="143" spans="1:6" x14ac:dyDescent="0.25">
      <c r="A143" s="165" t="s">
        <v>123</v>
      </c>
      <c r="B143" s="165"/>
      <c r="C143" s="165"/>
      <c r="D143" s="165"/>
    </row>
    <row r="145" spans="1:4" ht="15.75" customHeight="1" x14ac:dyDescent="0.25">
      <c r="A145" s="36"/>
      <c r="B145" s="164" t="s">
        <v>124</v>
      </c>
      <c r="C145" s="164"/>
      <c r="D145" s="36" t="s">
        <v>43</v>
      </c>
    </row>
    <row r="146" spans="1:4" ht="15.75" customHeight="1" x14ac:dyDescent="0.25">
      <c r="A146" s="36" t="s">
        <v>23</v>
      </c>
      <c r="B146" s="163" t="s">
        <v>41</v>
      </c>
      <c r="C146" s="163"/>
      <c r="D146" s="39">
        <f>D29</f>
        <v>1836.16</v>
      </c>
    </row>
    <row r="147" spans="1:4" ht="15.75" customHeight="1" x14ac:dyDescent="0.25">
      <c r="A147" s="36" t="s">
        <v>25</v>
      </c>
      <c r="B147" s="163" t="s">
        <v>53</v>
      </c>
      <c r="C147" s="163"/>
      <c r="D147" s="39">
        <f>D76</f>
        <v>1700.4089333333336</v>
      </c>
    </row>
    <row r="148" spans="1:4" ht="15.75" customHeight="1" x14ac:dyDescent="0.25">
      <c r="A148" s="36" t="s">
        <v>27</v>
      </c>
      <c r="B148" s="163" t="s">
        <v>85</v>
      </c>
      <c r="C148" s="163"/>
      <c r="D148" s="39">
        <f>D88</f>
        <v>122.48207288888891</v>
      </c>
    </row>
    <row r="149" spans="1:4" ht="15.75" customHeight="1" x14ac:dyDescent="0.25">
      <c r="A149" s="36" t="s">
        <v>29</v>
      </c>
      <c r="B149" s="163" t="s">
        <v>93</v>
      </c>
      <c r="C149" s="163"/>
      <c r="D149" s="39">
        <f>D120</f>
        <v>268.56656654750719</v>
      </c>
    </row>
    <row r="150" spans="1:4" ht="15.75" customHeight="1" x14ac:dyDescent="0.25">
      <c r="A150" s="36" t="s">
        <v>48</v>
      </c>
      <c r="B150" s="163" t="s">
        <v>111</v>
      </c>
      <c r="C150" s="163"/>
      <c r="D150" s="39">
        <f>D128</f>
        <v>124.36821428571427</v>
      </c>
    </row>
    <row r="151" spans="1:4" ht="15.75" customHeight="1" x14ac:dyDescent="0.25">
      <c r="A151" s="164" t="s">
        <v>125</v>
      </c>
      <c r="B151" s="164"/>
      <c r="C151" s="164"/>
      <c r="D151" s="40">
        <f>SUM(D146:D150)</f>
        <v>4051.9857870554442</v>
      </c>
    </row>
    <row r="152" spans="1:4" ht="15.75" customHeight="1" x14ac:dyDescent="0.25">
      <c r="A152" s="36" t="s">
        <v>50</v>
      </c>
      <c r="B152" s="163" t="s">
        <v>126</v>
      </c>
      <c r="C152" s="163"/>
      <c r="D152" s="39">
        <f>D140</f>
        <v>969.07886463180193</v>
      </c>
    </row>
    <row r="153" spans="1:4" ht="15.75" customHeight="1" x14ac:dyDescent="0.25">
      <c r="A153" s="164" t="s">
        <v>127</v>
      </c>
      <c r="B153" s="164"/>
      <c r="C153" s="164"/>
      <c r="D153" s="40">
        <f>TRUNC(SUM(D151:D152),2)</f>
        <v>5021.0600000000004</v>
      </c>
    </row>
  </sheetData>
  <mergeCells count="75">
    <mergeCell ref="A1:D1"/>
    <mergeCell ref="A2:D2"/>
    <mergeCell ref="A3:D3"/>
    <mergeCell ref="A5:D5"/>
    <mergeCell ref="C7:D7"/>
    <mergeCell ref="C8:D8"/>
    <mergeCell ref="C9:D9"/>
    <mergeCell ref="C10:D10"/>
    <mergeCell ref="C12:D12"/>
    <mergeCell ref="C13:D13"/>
    <mergeCell ref="C14:D14"/>
    <mergeCell ref="C15:D15"/>
    <mergeCell ref="C16:D16"/>
    <mergeCell ref="C17:D17"/>
    <mergeCell ref="C18:D18"/>
    <mergeCell ref="A20:D20"/>
    <mergeCell ref="B22:C22"/>
    <mergeCell ref="B23:C23"/>
    <mergeCell ref="B24:C24"/>
    <mergeCell ref="B25:C25"/>
    <mergeCell ref="B26:C26"/>
    <mergeCell ref="B27:C27"/>
    <mergeCell ref="B28:C28"/>
    <mergeCell ref="A29:C29"/>
    <mergeCell ref="A32:D32"/>
    <mergeCell ref="A34:D34"/>
    <mergeCell ref="B36:C36"/>
    <mergeCell ref="B37:C37"/>
    <mergeCell ref="B38:C38"/>
    <mergeCell ref="A39:C39"/>
    <mergeCell ref="A42:C42"/>
    <mergeCell ref="A44:D44"/>
    <mergeCell ref="A55:B55"/>
    <mergeCell ref="A58:D58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A88:B88"/>
    <mergeCell ref="A91:D91"/>
    <mergeCell ref="A94:D94"/>
    <mergeCell ref="A103:B103"/>
    <mergeCell ref="A105:B105"/>
    <mergeCell ref="A108:D108"/>
    <mergeCell ref="A112:B112"/>
    <mergeCell ref="A115:D115"/>
    <mergeCell ref="B117:C117"/>
    <mergeCell ref="B118:C118"/>
    <mergeCell ref="B119:C119"/>
    <mergeCell ref="A120:C120"/>
    <mergeCell ref="A123:D123"/>
    <mergeCell ref="B125:C125"/>
    <mergeCell ref="B126:C126"/>
    <mergeCell ref="B127:C127"/>
    <mergeCell ref="A128:C128"/>
    <mergeCell ref="A131:D131"/>
    <mergeCell ref="A140:B140"/>
    <mergeCell ref="A143:D143"/>
    <mergeCell ref="B145:C145"/>
    <mergeCell ref="B146:C146"/>
    <mergeCell ref="B147:C147"/>
    <mergeCell ref="B148:C148"/>
    <mergeCell ref="B149:C149"/>
    <mergeCell ref="B150:C150"/>
    <mergeCell ref="A151:C151"/>
    <mergeCell ref="B152:C152"/>
    <mergeCell ref="A153:C153"/>
  </mergeCells>
  <printOptions horizontalCentered="1"/>
  <pageMargins left="0.51180555555555596" right="0.51180555555555596" top="1.1027777777777801" bottom="0.78749999999999998" header="0.78749999999999998" footer="0.511811023622047"/>
  <pageSetup paperSize="9" scale="79" fitToHeight="0" orientation="portrait" horizontalDpi="300" verticalDpi="300" r:id="rId1"/>
  <headerFooter>
    <oddHeader>&amp;C&amp;"Times New Roman,Normal"&amp;12&amp;F - &amp;A - Pág. &amp;P/&amp;N</oddHead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154"/>
  <sheetViews>
    <sheetView showGridLines="0" topLeftCell="A43" zoomScaleNormal="100" workbookViewId="0">
      <selection activeCell="D66" sqref="D66"/>
    </sheetView>
  </sheetViews>
  <sheetFormatPr defaultColWidth="9.140625" defaultRowHeight="15.75" x14ac:dyDescent="0.25"/>
  <cols>
    <col min="1" max="1" width="9.140625" style="30"/>
    <col min="2" max="2" width="73.42578125" style="30" customWidth="1"/>
    <col min="3" max="4" width="16.85546875" style="30" customWidth="1"/>
    <col min="5" max="5" width="12.7109375" style="30" customWidth="1"/>
    <col min="6" max="6" width="12" style="30" customWidth="1"/>
    <col min="7" max="7" width="15.140625" style="30" customWidth="1"/>
    <col min="8" max="1024" width="9.140625" style="30"/>
  </cols>
  <sheetData>
    <row r="1" spans="1:6" x14ac:dyDescent="0.25">
      <c r="A1" s="160" t="s">
        <v>0</v>
      </c>
      <c r="B1" s="160"/>
      <c r="C1" s="160"/>
      <c r="D1" s="160"/>
    </row>
    <row r="2" spans="1:6" x14ac:dyDescent="0.25">
      <c r="A2" s="160" t="s">
        <v>1</v>
      </c>
      <c r="B2" s="160"/>
      <c r="C2" s="160"/>
      <c r="D2" s="160"/>
    </row>
    <row r="3" spans="1:6" x14ac:dyDescent="0.25">
      <c r="A3" s="177" t="s">
        <v>2</v>
      </c>
      <c r="B3" s="177"/>
      <c r="C3" s="177"/>
      <c r="D3" s="177"/>
    </row>
    <row r="4" spans="1:6" x14ac:dyDescent="0.25">
      <c r="A4" s="31"/>
      <c r="B4" s="31"/>
      <c r="C4" s="31"/>
      <c r="D4" s="31"/>
    </row>
    <row r="5" spans="1:6" ht="24.75" customHeight="1" x14ac:dyDescent="0.25">
      <c r="A5" s="178" t="s">
        <v>3</v>
      </c>
      <c r="B5" s="178"/>
      <c r="C5" s="178"/>
      <c r="D5" s="178"/>
    </row>
    <row r="6" spans="1:6" x14ac:dyDescent="0.25">
      <c r="A6" s="31"/>
      <c r="B6" s="31"/>
      <c r="C6" s="31"/>
      <c r="D6" s="31"/>
    </row>
    <row r="7" spans="1:6" ht="15.75" customHeight="1" x14ac:dyDescent="0.25">
      <c r="A7" s="32" t="s">
        <v>23</v>
      </c>
      <c r="B7" s="33" t="s">
        <v>24</v>
      </c>
      <c r="C7" s="175"/>
      <c r="D7" s="175"/>
    </row>
    <row r="8" spans="1:6" x14ac:dyDescent="0.25">
      <c r="A8" s="32" t="s">
        <v>25</v>
      </c>
      <c r="B8" s="33" t="s">
        <v>26</v>
      </c>
      <c r="C8" s="175"/>
      <c r="D8" s="175"/>
    </row>
    <row r="9" spans="1:6" x14ac:dyDescent="0.25">
      <c r="A9" s="32" t="s">
        <v>27</v>
      </c>
      <c r="B9" s="33" t="s">
        <v>28</v>
      </c>
      <c r="C9" s="175"/>
      <c r="D9" s="175"/>
    </row>
    <row r="10" spans="1:6" x14ac:dyDescent="0.25">
      <c r="A10" s="32" t="s">
        <v>29</v>
      </c>
      <c r="B10" s="33" t="s">
        <v>30</v>
      </c>
      <c r="C10" s="175"/>
      <c r="D10" s="175"/>
    </row>
    <row r="11" spans="1:6" x14ac:dyDescent="0.25">
      <c r="A11" s="34"/>
      <c r="B11" s="35"/>
      <c r="C11" s="34"/>
      <c r="D11" s="34"/>
      <c r="E11" s="34"/>
      <c r="F11" s="34"/>
    </row>
    <row r="12" spans="1:6" ht="15.75" customHeight="1" x14ac:dyDescent="0.25">
      <c r="A12" s="34"/>
      <c r="B12" s="33" t="s">
        <v>31</v>
      </c>
      <c r="C12" s="175" t="s">
        <v>128</v>
      </c>
      <c r="D12" s="175"/>
      <c r="E12" s="34"/>
      <c r="F12" s="34"/>
    </row>
    <row r="13" spans="1:6" ht="15.75" customHeight="1" x14ac:dyDescent="0.25">
      <c r="A13" s="34"/>
      <c r="B13" s="33" t="s">
        <v>33</v>
      </c>
      <c r="C13" s="176" t="s">
        <v>129</v>
      </c>
      <c r="D13" s="176"/>
      <c r="E13" s="34"/>
      <c r="F13" s="34"/>
    </row>
    <row r="14" spans="1:6" x14ac:dyDescent="0.25">
      <c r="A14" s="34"/>
      <c r="B14" s="33" t="s">
        <v>130</v>
      </c>
      <c r="C14" s="172">
        <f>11.13*220</f>
        <v>2448.6000000000004</v>
      </c>
      <c r="D14" s="172"/>
      <c r="E14" s="34"/>
      <c r="F14" s="34"/>
    </row>
    <row r="15" spans="1:6" ht="15.75" customHeight="1" x14ac:dyDescent="0.25">
      <c r="A15" s="34"/>
      <c r="B15" s="33" t="s">
        <v>36</v>
      </c>
      <c r="C15" s="173" t="s">
        <v>264</v>
      </c>
      <c r="D15" s="173"/>
      <c r="E15" s="34"/>
      <c r="F15" s="34"/>
    </row>
    <row r="16" spans="1:6" x14ac:dyDescent="0.25">
      <c r="A16" s="34"/>
      <c r="B16" s="33" t="s">
        <v>38</v>
      </c>
      <c r="C16" s="174">
        <v>44713</v>
      </c>
      <c r="D16" s="174"/>
      <c r="E16" s="34"/>
      <c r="F16" s="34"/>
    </row>
    <row r="17" spans="1:6" ht="15.75" customHeight="1" x14ac:dyDescent="0.25">
      <c r="A17" s="34"/>
      <c r="B17" s="33" t="s">
        <v>39</v>
      </c>
      <c r="C17" s="175" t="s">
        <v>13</v>
      </c>
      <c r="D17" s="175"/>
      <c r="E17" s="34"/>
      <c r="F17" s="34"/>
    </row>
    <row r="18" spans="1:6" x14ac:dyDescent="0.25">
      <c r="A18" s="34"/>
      <c r="B18" s="33" t="s">
        <v>40</v>
      </c>
      <c r="C18" s="175">
        <v>1</v>
      </c>
      <c r="D18" s="175"/>
      <c r="E18" s="34"/>
      <c r="F18" s="34"/>
    </row>
    <row r="20" spans="1:6" x14ac:dyDescent="0.25">
      <c r="A20" s="165" t="s">
        <v>41</v>
      </c>
      <c r="B20" s="165"/>
      <c r="C20" s="165"/>
      <c r="D20" s="165"/>
    </row>
    <row r="22" spans="1:6" ht="15.75" customHeight="1" x14ac:dyDescent="0.25">
      <c r="A22" s="36">
        <v>1</v>
      </c>
      <c r="B22" s="164" t="s">
        <v>42</v>
      </c>
      <c r="C22" s="164"/>
      <c r="D22" s="36" t="s">
        <v>43</v>
      </c>
    </row>
    <row r="23" spans="1:6" ht="15.75" customHeight="1" x14ac:dyDescent="0.25">
      <c r="A23" s="37" t="s">
        <v>23</v>
      </c>
      <c r="B23" s="163" t="s">
        <v>44</v>
      </c>
      <c r="C23" s="163"/>
      <c r="D23" s="39">
        <f>C14</f>
        <v>2448.6000000000004</v>
      </c>
    </row>
    <row r="24" spans="1:6" ht="15.75" customHeight="1" x14ac:dyDescent="0.25">
      <c r="A24" s="37" t="s">
        <v>25</v>
      </c>
      <c r="B24" s="163" t="s">
        <v>45</v>
      </c>
      <c r="C24" s="163"/>
      <c r="D24" s="39">
        <v>0</v>
      </c>
    </row>
    <row r="25" spans="1:6" ht="15.75" customHeight="1" x14ac:dyDescent="0.25">
      <c r="A25" s="37" t="s">
        <v>27</v>
      </c>
      <c r="B25" s="163" t="s">
        <v>46</v>
      </c>
      <c r="C25" s="163"/>
      <c r="D25" s="39">
        <v>0</v>
      </c>
    </row>
    <row r="26" spans="1:6" ht="15.75" customHeight="1" x14ac:dyDescent="0.25">
      <c r="A26" s="37" t="s">
        <v>29</v>
      </c>
      <c r="B26" s="163" t="s">
        <v>47</v>
      </c>
      <c r="C26" s="163"/>
      <c r="D26" s="39">
        <v>0</v>
      </c>
    </row>
    <row r="27" spans="1:6" ht="15.75" customHeight="1" x14ac:dyDescent="0.25">
      <c r="A27" s="37" t="s">
        <v>48</v>
      </c>
      <c r="B27" s="163" t="s">
        <v>49</v>
      </c>
      <c r="C27" s="163"/>
      <c r="D27" s="39">
        <v>0</v>
      </c>
    </row>
    <row r="28" spans="1:6" ht="15.75" customHeight="1" x14ac:dyDescent="0.25">
      <c r="A28" s="37" t="s">
        <v>50</v>
      </c>
      <c r="B28" s="163" t="s">
        <v>51</v>
      </c>
      <c r="C28" s="163"/>
      <c r="D28" s="39">
        <v>0</v>
      </c>
    </row>
    <row r="29" spans="1:6" ht="15.75" customHeight="1" x14ac:dyDescent="0.25">
      <c r="A29" s="164" t="s">
        <v>52</v>
      </c>
      <c r="B29" s="164"/>
      <c r="C29" s="164"/>
      <c r="D29" s="40">
        <f>SUM(D23:D28)</f>
        <v>2448.6000000000004</v>
      </c>
      <c r="E29" s="41"/>
    </row>
    <row r="32" spans="1:6" x14ac:dyDescent="0.25">
      <c r="A32" s="165" t="s">
        <v>53</v>
      </c>
      <c r="B32" s="165"/>
      <c r="C32" s="165"/>
      <c r="D32" s="165"/>
    </row>
    <row r="33" spans="1:6" x14ac:dyDescent="0.25">
      <c r="A33" s="42"/>
    </row>
    <row r="34" spans="1:6" x14ac:dyDescent="0.25">
      <c r="A34" s="166" t="s">
        <v>54</v>
      </c>
      <c r="B34" s="166"/>
      <c r="C34" s="166"/>
      <c r="D34" s="166"/>
    </row>
    <row r="36" spans="1:6" ht="15.75" customHeight="1" x14ac:dyDescent="0.25">
      <c r="A36" s="36" t="s">
        <v>55</v>
      </c>
      <c r="B36" s="164" t="s">
        <v>56</v>
      </c>
      <c r="C36" s="164"/>
      <c r="D36" s="36" t="s">
        <v>43</v>
      </c>
    </row>
    <row r="37" spans="1:6" ht="15.75" customHeight="1" x14ac:dyDescent="0.25">
      <c r="A37" s="37" t="s">
        <v>23</v>
      </c>
      <c r="B37" s="163" t="s">
        <v>57</v>
      </c>
      <c r="C37" s="163"/>
      <c r="D37" s="39">
        <f>D29/12</f>
        <v>204.05000000000004</v>
      </c>
    </row>
    <row r="38" spans="1:6" ht="15.75" customHeight="1" x14ac:dyDescent="0.25">
      <c r="A38" s="149" t="s">
        <v>25</v>
      </c>
      <c r="B38" s="171" t="s">
        <v>261</v>
      </c>
      <c r="C38" s="171"/>
      <c r="D38" s="150">
        <f>((D29/3)/12)</f>
        <v>68.01666666666668</v>
      </c>
    </row>
    <row r="39" spans="1:6" ht="15.75" customHeight="1" x14ac:dyDescent="0.25">
      <c r="A39" s="164" t="s">
        <v>52</v>
      </c>
      <c r="B39" s="164"/>
      <c r="C39" s="164"/>
      <c r="D39" s="40">
        <f>SUM(D37:D38)</f>
        <v>272.06666666666672</v>
      </c>
      <c r="F39" s="43"/>
    </row>
    <row r="40" spans="1:6" ht="15.75" customHeight="1" x14ac:dyDescent="0.25">
      <c r="A40" s="44"/>
      <c r="B40" s="44"/>
      <c r="C40" s="44"/>
      <c r="D40" s="45"/>
      <c r="F40" s="43"/>
    </row>
    <row r="41" spans="1:6" ht="15.75" customHeight="1" x14ac:dyDescent="0.25">
      <c r="F41" s="43"/>
    </row>
    <row r="42" spans="1:6" x14ac:dyDescent="0.25">
      <c r="A42" s="168" t="s">
        <v>58</v>
      </c>
      <c r="B42" s="168"/>
      <c r="C42" s="168"/>
      <c r="D42" s="40">
        <f>D29+D39</f>
        <v>2720.666666666667</v>
      </c>
    </row>
    <row r="44" spans="1:6" ht="15.75" customHeight="1" x14ac:dyDescent="0.25">
      <c r="A44" s="169" t="s">
        <v>59</v>
      </c>
      <c r="B44" s="169"/>
      <c r="C44" s="169"/>
      <c r="D44" s="169"/>
    </row>
    <row r="46" spans="1:6" x14ac:dyDescent="0.25">
      <c r="A46" s="36" t="s">
        <v>60</v>
      </c>
      <c r="B46" s="36" t="s">
        <v>61</v>
      </c>
      <c r="C46" s="36" t="s">
        <v>62</v>
      </c>
      <c r="D46" s="36" t="s">
        <v>43</v>
      </c>
    </row>
    <row r="47" spans="1:6" x14ac:dyDescent="0.25">
      <c r="A47" s="37" t="s">
        <v>23</v>
      </c>
      <c r="B47" s="46" t="s">
        <v>63</v>
      </c>
      <c r="C47" s="47">
        <v>0.2</v>
      </c>
      <c r="D47" s="48">
        <f>C47*D42</f>
        <v>544.13333333333344</v>
      </c>
    </row>
    <row r="48" spans="1:6" x14ac:dyDescent="0.25">
      <c r="A48" s="37" t="s">
        <v>25</v>
      </c>
      <c r="B48" s="46" t="s">
        <v>64</v>
      </c>
      <c r="C48" s="47">
        <v>2.5000000000000001E-2</v>
      </c>
      <c r="D48" s="48">
        <f>C48*D42</f>
        <v>68.01666666666668</v>
      </c>
    </row>
    <row r="49" spans="1:4" x14ac:dyDescent="0.25">
      <c r="A49" s="37" t="s">
        <v>27</v>
      </c>
      <c r="B49" s="46" t="s">
        <v>65</v>
      </c>
      <c r="C49" s="47">
        <f>3%*2</f>
        <v>0.06</v>
      </c>
      <c r="D49" s="48">
        <f>C49*D42</f>
        <v>163.24</v>
      </c>
    </row>
    <row r="50" spans="1:4" x14ac:dyDescent="0.25">
      <c r="A50" s="37" t="s">
        <v>29</v>
      </c>
      <c r="B50" s="46" t="s">
        <v>66</v>
      </c>
      <c r="C50" s="47">
        <v>1.4999999999999999E-2</v>
      </c>
      <c r="D50" s="48">
        <f>C50*D42</f>
        <v>40.81</v>
      </c>
    </row>
    <row r="51" spans="1:4" x14ac:dyDescent="0.25">
      <c r="A51" s="37" t="s">
        <v>48</v>
      </c>
      <c r="B51" s="46" t="s">
        <v>67</v>
      </c>
      <c r="C51" s="47">
        <v>0.01</v>
      </c>
      <c r="D51" s="48">
        <f>C51*D42</f>
        <v>27.206666666666671</v>
      </c>
    </row>
    <row r="52" spans="1:4" x14ac:dyDescent="0.25">
      <c r="A52" s="37" t="s">
        <v>50</v>
      </c>
      <c r="B52" s="46" t="s">
        <v>68</v>
      </c>
      <c r="C52" s="47">
        <v>6.0000000000000001E-3</v>
      </c>
      <c r="D52" s="48">
        <f>C52*D42</f>
        <v>16.324000000000002</v>
      </c>
    </row>
    <row r="53" spans="1:4" x14ac:dyDescent="0.25">
      <c r="A53" s="37" t="s">
        <v>69</v>
      </c>
      <c r="B53" s="46" t="s">
        <v>70</v>
      </c>
      <c r="C53" s="47">
        <v>2E-3</v>
      </c>
      <c r="D53" s="48">
        <f>C53*D42</f>
        <v>5.4413333333333345</v>
      </c>
    </row>
    <row r="54" spans="1:4" x14ac:dyDescent="0.25">
      <c r="A54" s="37" t="s">
        <v>71</v>
      </c>
      <c r="B54" s="46" t="s">
        <v>72</v>
      </c>
      <c r="C54" s="47">
        <v>0.08</v>
      </c>
      <c r="D54" s="48">
        <f>C54*D42</f>
        <v>217.65333333333336</v>
      </c>
    </row>
    <row r="55" spans="1:4" ht="15.75" customHeight="1" x14ac:dyDescent="0.25">
      <c r="A55" s="164" t="s">
        <v>73</v>
      </c>
      <c r="B55" s="164"/>
      <c r="C55" s="49">
        <f>SUM(C47:C54)</f>
        <v>0.39800000000000008</v>
      </c>
      <c r="D55" s="50">
        <f>SUM(D47:D54)</f>
        <v>1082.8253333333334</v>
      </c>
    </row>
    <row r="58" spans="1:4" x14ac:dyDescent="0.25">
      <c r="A58" s="166" t="s">
        <v>74</v>
      </c>
      <c r="B58" s="166"/>
      <c r="C58" s="166"/>
      <c r="D58" s="166"/>
    </row>
    <row r="60" spans="1:4" x14ac:dyDescent="0.25">
      <c r="A60" s="36" t="s">
        <v>75</v>
      </c>
      <c r="B60" s="51" t="s">
        <v>76</v>
      </c>
      <c r="C60" s="36" t="s">
        <v>43</v>
      </c>
      <c r="D60" s="36" t="s">
        <v>43</v>
      </c>
    </row>
    <row r="61" spans="1:4" x14ac:dyDescent="0.25">
      <c r="A61" s="37" t="s">
        <v>23</v>
      </c>
      <c r="B61" s="38" t="s">
        <v>77</v>
      </c>
      <c r="C61" s="52">
        <v>5.5</v>
      </c>
      <c r="D61" s="48">
        <f>IF(((C61*44)-(D23*6%))&gt;0,((C61*44)-(D23*6%)),0)</f>
        <v>95.083999999999975</v>
      </c>
    </row>
    <row r="62" spans="1:4" x14ac:dyDescent="0.25">
      <c r="A62" s="37" t="s">
        <v>25</v>
      </c>
      <c r="B62" s="46" t="s">
        <v>138</v>
      </c>
      <c r="C62" s="53">
        <v>560</v>
      </c>
      <c r="D62" s="48">
        <f>C62</f>
        <v>560</v>
      </c>
    </row>
    <row r="63" spans="1:4" x14ac:dyDescent="0.25">
      <c r="A63" s="37" t="s">
        <v>27</v>
      </c>
      <c r="B63" s="46" t="s">
        <v>139</v>
      </c>
      <c r="C63" s="53">
        <f>C62/12</f>
        <v>46.666666666666664</v>
      </c>
      <c r="D63" s="48">
        <f>C63</f>
        <v>46.666666666666664</v>
      </c>
    </row>
    <row r="64" spans="1:4" ht="15.75" customHeight="1" x14ac:dyDescent="0.25">
      <c r="A64" s="37" t="s">
        <v>29</v>
      </c>
      <c r="B64" s="46" t="s">
        <v>134</v>
      </c>
      <c r="C64" s="53">
        <f>C62/12</f>
        <v>46.666666666666664</v>
      </c>
      <c r="D64" s="48">
        <f>C64</f>
        <v>46.666666666666664</v>
      </c>
    </row>
    <row r="65" spans="1:4" ht="15.75" customHeight="1" x14ac:dyDescent="0.25">
      <c r="A65" s="37" t="s">
        <v>48</v>
      </c>
      <c r="B65" s="46" t="s">
        <v>135</v>
      </c>
      <c r="C65" s="53">
        <v>6</v>
      </c>
      <c r="D65" s="48">
        <f>C65*22</f>
        <v>132</v>
      </c>
    </row>
    <row r="66" spans="1:4" ht="15.75" customHeight="1" x14ac:dyDescent="0.25">
      <c r="A66" s="37" t="s">
        <v>50</v>
      </c>
      <c r="B66" s="46" t="s">
        <v>140</v>
      </c>
      <c r="C66" s="77">
        <v>0.01</v>
      </c>
      <c r="D66" s="48">
        <f>SUM(D29,D37)*C66</f>
        <v>26.526500000000006</v>
      </c>
    </row>
    <row r="67" spans="1:4" ht="15.75" customHeight="1" x14ac:dyDescent="0.25">
      <c r="A67" s="37" t="s">
        <v>69</v>
      </c>
      <c r="B67" s="46" t="s">
        <v>136</v>
      </c>
      <c r="C67" s="75">
        <v>39652.57</v>
      </c>
      <c r="D67" s="48">
        <f>C67*0.012%</f>
        <v>4.7583083999999998</v>
      </c>
    </row>
    <row r="68" spans="1:4" ht="15.75" customHeight="1" x14ac:dyDescent="0.25">
      <c r="A68" s="164" t="s">
        <v>52</v>
      </c>
      <c r="B68" s="164"/>
      <c r="C68" s="164"/>
      <c r="D68" s="54">
        <f>SUM(D61:D67)</f>
        <v>911.70214173333329</v>
      </c>
    </row>
    <row r="71" spans="1:4" x14ac:dyDescent="0.25">
      <c r="A71" s="166" t="s">
        <v>83</v>
      </c>
      <c r="B71" s="166"/>
      <c r="C71" s="166"/>
      <c r="D71" s="166"/>
    </row>
    <row r="73" spans="1:4" ht="15.75" customHeight="1" x14ac:dyDescent="0.25">
      <c r="A73" s="36">
        <v>2</v>
      </c>
      <c r="B73" s="164" t="s">
        <v>84</v>
      </c>
      <c r="C73" s="164"/>
      <c r="D73" s="36" t="s">
        <v>43</v>
      </c>
    </row>
    <row r="74" spans="1:4" ht="15.75" customHeight="1" x14ac:dyDescent="0.25">
      <c r="A74" s="37" t="s">
        <v>55</v>
      </c>
      <c r="B74" s="163" t="s">
        <v>262</v>
      </c>
      <c r="C74" s="163"/>
      <c r="D74" s="48">
        <f>D39</f>
        <v>272.06666666666672</v>
      </c>
    </row>
    <row r="75" spans="1:4" ht="15.75" customHeight="1" x14ac:dyDescent="0.25">
      <c r="A75" s="37" t="s">
        <v>60</v>
      </c>
      <c r="B75" s="163" t="s">
        <v>61</v>
      </c>
      <c r="C75" s="163"/>
      <c r="D75" s="48">
        <f>D55</f>
        <v>1082.8253333333334</v>
      </c>
    </row>
    <row r="76" spans="1:4" ht="15.75" customHeight="1" x14ac:dyDescent="0.25">
      <c r="A76" s="37" t="s">
        <v>75</v>
      </c>
      <c r="B76" s="163" t="s">
        <v>76</v>
      </c>
      <c r="C76" s="163"/>
      <c r="D76" s="48">
        <f>D68</f>
        <v>911.70214173333329</v>
      </c>
    </row>
    <row r="77" spans="1:4" ht="15.75" customHeight="1" x14ac:dyDescent="0.25">
      <c r="A77" s="164" t="s">
        <v>52</v>
      </c>
      <c r="B77" s="164"/>
      <c r="C77" s="164"/>
      <c r="D77" s="54">
        <f>SUM(D74:D76)</f>
        <v>2266.5941417333333</v>
      </c>
    </row>
    <row r="78" spans="1:4" x14ac:dyDescent="0.25">
      <c r="A78" s="55"/>
    </row>
    <row r="80" spans="1:4" x14ac:dyDescent="0.25">
      <c r="A80" s="165" t="s">
        <v>85</v>
      </c>
      <c r="B80" s="165"/>
      <c r="C80" s="165"/>
      <c r="D80" s="165"/>
    </row>
    <row r="82" spans="1:6" x14ac:dyDescent="0.25">
      <c r="A82" s="36">
        <v>3</v>
      </c>
      <c r="B82" s="56" t="s">
        <v>86</v>
      </c>
      <c r="C82" s="36" t="s">
        <v>62</v>
      </c>
      <c r="D82" s="36" t="s">
        <v>43</v>
      </c>
    </row>
    <row r="83" spans="1:6" x14ac:dyDescent="0.25">
      <c r="A83" s="37" t="s">
        <v>23</v>
      </c>
      <c r="B83" s="57" t="s">
        <v>87</v>
      </c>
      <c r="C83" s="47">
        <f>0.05*(1/12)</f>
        <v>4.1666666666666666E-3</v>
      </c>
      <c r="D83" s="48">
        <f>C83*D29</f>
        <v>10.202500000000001</v>
      </c>
    </row>
    <row r="84" spans="1:6" x14ac:dyDescent="0.25">
      <c r="A84" s="37" t="s">
        <v>25</v>
      </c>
      <c r="B84" s="57" t="s">
        <v>88</v>
      </c>
      <c r="C84" s="47">
        <f>C83*C54</f>
        <v>3.3333333333333332E-4</v>
      </c>
      <c r="D84" s="48">
        <f>C84*D29</f>
        <v>0.81620000000000015</v>
      </c>
    </row>
    <row r="85" spans="1:6" x14ac:dyDescent="0.25">
      <c r="A85" s="37" t="s">
        <v>27</v>
      </c>
      <c r="B85" s="57" t="s">
        <v>89</v>
      </c>
      <c r="C85" s="47">
        <f>0.08*0.4*0.9*(1+2/12+(1/3*1/12))</f>
        <v>3.44E-2</v>
      </c>
      <c r="D85" s="48">
        <f>C85*D29</f>
        <v>84.23184000000002</v>
      </c>
    </row>
    <row r="86" spans="1:6" x14ac:dyDescent="0.25">
      <c r="A86" s="37" t="s">
        <v>29</v>
      </c>
      <c r="B86" s="57" t="s">
        <v>90</v>
      </c>
      <c r="C86" s="58">
        <f>(7/30)/12</f>
        <v>1.9444444444444445E-2</v>
      </c>
      <c r="D86" s="48">
        <f>C86*D29</f>
        <v>47.611666666666672</v>
      </c>
    </row>
    <row r="87" spans="1:6" x14ac:dyDescent="0.25">
      <c r="A87" s="37" t="s">
        <v>48</v>
      </c>
      <c r="B87" s="57" t="s">
        <v>91</v>
      </c>
      <c r="C87" s="58">
        <f>C86*C55</f>
        <v>7.7388888888888906E-3</v>
      </c>
      <c r="D87" s="48">
        <f>C87*D29</f>
        <v>18.949443333333342</v>
      </c>
      <c r="F87" s="60"/>
    </row>
    <row r="88" spans="1:6" x14ac:dyDescent="0.25">
      <c r="A88" s="37" t="s">
        <v>50</v>
      </c>
      <c r="B88" s="57" t="s">
        <v>92</v>
      </c>
      <c r="C88" s="58">
        <f>C86*0.08*0.4</f>
        <v>6.2222222222222236E-4</v>
      </c>
      <c r="D88" s="48">
        <f>C88*D29</f>
        <v>1.5235733333333339</v>
      </c>
    </row>
    <row r="89" spans="1:6" ht="15.75" customHeight="1" x14ac:dyDescent="0.25">
      <c r="A89" s="167" t="s">
        <v>52</v>
      </c>
      <c r="B89" s="167"/>
      <c r="C89" s="49">
        <f>SUM(C83:C88)</f>
        <v>6.6705555555555546E-2</v>
      </c>
      <c r="D89" s="40">
        <f>SUM(D83:D88)</f>
        <v>163.33522333333335</v>
      </c>
    </row>
    <row r="92" spans="1:6" x14ac:dyDescent="0.25">
      <c r="A92" s="165" t="s">
        <v>93</v>
      </c>
      <c r="B92" s="165"/>
      <c r="C92" s="165"/>
      <c r="D92" s="165"/>
    </row>
    <row r="95" spans="1:6" x14ac:dyDescent="0.25">
      <c r="A95" s="166" t="s">
        <v>94</v>
      </c>
      <c r="B95" s="166"/>
      <c r="C95" s="166"/>
      <c r="D95" s="166"/>
    </row>
    <row r="96" spans="1:6" x14ac:dyDescent="0.25">
      <c r="A96" s="42"/>
    </row>
    <row r="97" spans="1:5" x14ac:dyDescent="0.25">
      <c r="A97" s="36" t="s">
        <v>95</v>
      </c>
      <c r="B97" s="61" t="s">
        <v>96</v>
      </c>
      <c r="C97" s="36" t="s">
        <v>62</v>
      </c>
      <c r="D97" s="36" t="s">
        <v>43</v>
      </c>
    </row>
    <row r="98" spans="1:5" x14ac:dyDescent="0.25">
      <c r="A98" s="37" t="s">
        <v>23</v>
      </c>
      <c r="B98" s="57" t="s">
        <v>97</v>
      </c>
      <c r="C98" s="47">
        <f>1/12</f>
        <v>8.3333333333333329E-2</v>
      </c>
      <c r="D98" s="48">
        <f>C98*D29</f>
        <v>204.05</v>
      </c>
    </row>
    <row r="99" spans="1:5" x14ac:dyDescent="0.25">
      <c r="A99" s="37" t="s">
        <v>25</v>
      </c>
      <c r="B99" s="57" t="s">
        <v>98</v>
      </c>
      <c r="C99" s="47">
        <f>1/30/12</f>
        <v>2.7777777777777779E-3</v>
      </c>
      <c r="D99" s="48">
        <f>C99*D29</f>
        <v>6.8016666666666676</v>
      </c>
    </row>
    <row r="100" spans="1:5" x14ac:dyDescent="0.25">
      <c r="A100" s="37" t="s">
        <v>27</v>
      </c>
      <c r="B100" s="57" t="s">
        <v>99</v>
      </c>
      <c r="C100" s="47">
        <f>(5/30/12)*0.015</f>
        <v>2.0833333333333332E-4</v>
      </c>
      <c r="D100" s="48">
        <f>C100*D29</f>
        <v>0.51012500000000005</v>
      </c>
      <c r="E100" s="60"/>
    </row>
    <row r="101" spans="1:5" x14ac:dyDescent="0.25">
      <c r="A101" s="37" t="s">
        <v>29</v>
      </c>
      <c r="B101" s="57" t="s">
        <v>100</v>
      </c>
      <c r="C101" s="47">
        <f>(1/12)*0.0178</f>
        <v>1.4833333333333332E-3</v>
      </c>
      <c r="D101" s="48">
        <f>C101*D29</f>
        <v>3.6320900000000003</v>
      </c>
    </row>
    <row r="102" spans="1:5" x14ac:dyDescent="0.25">
      <c r="A102" s="37" t="s">
        <v>48</v>
      </c>
      <c r="B102" s="57" t="s">
        <v>101</v>
      </c>
      <c r="C102" s="47">
        <f>11.11%*5.28%*50%</f>
        <v>2.9330399999999996E-3</v>
      </c>
      <c r="D102" s="48">
        <f>C102*D29</f>
        <v>7.1818417439999997</v>
      </c>
    </row>
    <row r="103" spans="1:5" x14ac:dyDescent="0.25">
      <c r="A103" s="37" t="s">
        <v>50</v>
      </c>
      <c r="B103" s="57" t="s">
        <v>102</v>
      </c>
      <c r="C103" s="47">
        <f>5/30/12</f>
        <v>1.3888888888888888E-2</v>
      </c>
      <c r="D103" s="48">
        <f>C103*D29</f>
        <v>34.00833333333334</v>
      </c>
    </row>
    <row r="104" spans="1:5" ht="15.75" customHeight="1" x14ac:dyDescent="0.25">
      <c r="A104" s="164" t="s">
        <v>103</v>
      </c>
      <c r="B104" s="164"/>
      <c r="C104" s="49">
        <f>SUM(C98:C103)</f>
        <v>0.10462470666666668</v>
      </c>
      <c r="D104" s="54">
        <f>SUM(D98:D103)</f>
        <v>256.18405674400003</v>
      </c>
    </row>
    <row r="105" spans="1:5" x14ac:dyDescent="0.25">
      <c r="A105" s="26" t="s">
        <v>69</v>
      </c>
      <c r="B105" s="62" t="s">
        <v>104</v>
      </c>
      <c r="C105" s="63">
        <f>C104*C55</f>
        <v>4.1640633253333344E-2</v>
      </c>
      <c r="D105" s="64">
        <f>C105*D29</f>
        <v>101.96125458411204</v>
      </c>
    </row>
    <row r="106" spans="1:5" ht="15.75" customHeight="1" x14ac:dyDescent="0.25">
      <c r="A106" s="164" t="s">
        <v>73</v>
      </c>
      <c r="B106" s="164"/>
      <c r="C106" s="49">
        <f>SUM(C104:C105)</f>
        <v>0.14626533992000001</v>
      </c>
      <c r="D106" s="40">
        <f>SUM(D104:D105)</f>
        <v>358.14531132811209</v>
      </c>
    </row>
    <row r="109" spans="1:5" x14ac:dyDescent="0.25">
      <c r="A109" s="166" t="s">
        <v>105</v>
      </c>
      <c r="B109" s="166"/>
      <c r="C109" s="166"/>
      <c r="D109" s="166"/>
    </row>
    <row r="110" spans="1:5" x14ac:dyDescent="0.25">
      <c r="A110" s="42"/>
    </row>
    <row r="111" spans="1:5" x14ac:dyDescent="0.25">
      <c r="A111" s="36" t="s">
        <v>106</v>
      </c>
      <c r="B111" s="61" t="s">
        <v>107</v>
      </c>
      <c r="C111" s="36" t="s">
        <v>62</v>
      </c>
      <c r="D111" s="36" t="s">
        <v>43</v>
      </c>
    </row>
    <row r="112" spans="1:5" x14ac:dyDescent="0.25">
      <c r="A112" s="37" t="s">
        <v>23</v>
      </c>
      <c r="B112" s="57" t="s">
        <v>108</v>
      </c>
      <c r="C112" s="47">
        <v>0</v>
      </c>
      <c r="D112" s="39">
        <f>C112*D29</f>
        <v>0</v>
      </c>
    </row>
    <row r="113" spans="1:4" ht="15.75" customHeight="1" x14ac:dyDescent="0.25">
      <c r="A113" s="167" t="s">
        <v>52</v>
      </c>
      <c r="B113" s="167"/>
      <c r="C113" s="49">
        <f>SUM(C112)</f>
        <v>0</v>
      </c>
      <c r="D113" s="40">
        <f>SUM(D112)</f>
        <v>0</v>
      </c>
    </row>
    <row r="116" spans="1:4" x14ac:dyDescent="0.25">
      <c r="A116" s="166" t="s">
        <v>109</v>
      </c>
      <c r="B116" s="166"/>
      <c r="C116" s="166"/>
      <c r="D116" s="166"/>
    </row>
    <row r="117" spans="1:4" x14ac:dyDescent="0.25">
      <c r="A117" s="42"/>
    </row>
    <row r="118" spans="1:4" ht="15.75" customHeight="1" x14ac:dyDescent="0.25">
      <c r="A118" s="36">
        <v>4</v>
      </c>
      <c r="B118" s="164" t="s">
        <v>110</v>
      </c>
      <c r="C118" s="164"/>
      <c r="D118" s="36" t="s">
        <v>43</v>
      </c>
    </row>
    <row r="119" spans="1:4" ht="15.75" customHeight="1" x14ac:dyDescent="0.25">
      <c r="A119" s="37" t="s">
        <v>95</v>
      </c>
      <c r="B119" s="163" t="s">
        <v>96</v>
      </c>
      <c r="C119" s="163"/>
      <c r="D119" s="39">
        <f>D106</f>
        <v>358.14531132811209</v>
      </c>
    </row>
    <row r="120" spans="1:4" ht="15.75" customHeight="1" x14ac:dyDescent="0.25">
      <c r="A120" s="37" t="s">
        <v>106</v>
      </c>
      <c r="B120" s="163" t="s">
        <v>107</v>
      </c>
      <c r="C120" s="163"/>
      <c r="D120" s="39">
        <f>D113</f>
        <v>0</v>
      </c>
    </row>
    <row r="121" spans="1:4" ht="15.75" customHeight="1" x14ac:dyDescent="0.25">
      <c r="A121" s="164" t="s">
        <v>52</v>
      </c>
      <c r="B121" s="164"/>
      <c r="C121" s="164"/>
      <c r="D121" s="40">
        <f>SUM(D119:D120)</f>
        <v>358.14531132811209</v>
      </c>
    </row>
    <row r="124" spans="1:4" x14ac:dyDescent="0.25">
      <c r="A124" s="165" t="s">
        <v>111</v>
      </c>
      <c r="B124" s="165"/>
      <c r="C124" s="165"/>
      <c r="D124" s="165"/>
    </row>
    <row r="126" spans="1:4" ht="15.75" customHeight="1" x14ac:dyDescent="0.25">
      <c r="A126" s="36">
        <v>5</v>
      </c>
      <c r="B126" s="164" t="s">
        <v>112</v>
      </c>
      <c r="C126" s="164"/>
      <c r="D126" s="36" t="s">
        <v>43</v>
      </c>
    </row>
    <row r="127" spans="1:4" ht="15.75" customHeight="1" x14ac:dyDescent="0.25">
      <c r="A127" s="37" t="s">
        <v>23</v>
      </c>
      <c r="B127" s="163" t="s">
        <v>113</v>
      </c>
      <c r="C127" s="163"/>
      <c r="D127" s="39">
        <f>Uniformes!H33</f>
        <v>93.009880952380954</v>
      </c>
    </row>
    <row r="128" spans="1:4" ht="15.75" customHeight="1" x14ac:dyDescent="0.25">
      <c r="A128" s="37" t="s">
        <v>25</v>
      </c>
      <c r="B128" s="163" t="s">
        <v>114</v>
      </c>
      <c r="C128" s="163"/>
      <c r="D128" s="65">
        <v>15</v>
      </c>
    </row>
    <row r="129" spans="1:6" ht="15.75" customHeight="1" x14ac:dyDescent="0.25">
      <c r="A129" s="164" t="s">
        <v>73</v>
      </c>
      <c r="B129" s="164"/>
      <c r="C129" s="164"/>
      <c r="D129" s="40">
        <f>SUM(D127:D128)</f>
        <v>108.00988095238095</v>
      </c>
    </row>
    <row r="132" spans="1:6" x14ac:dyDescent="0.25">
      <c r="A132" s="165" t="s">
        <v>115</v>
      </c>
      <c r="B132" s="165"/>
      <c r="C132" s="165"/>
      <c r="D132" s="165"/>
    </row>
    <row r="134" spans="1:6" x14ac:dyDescent="0.25">
      <c r="A134" s="36">
        <v>6</v>
      </c>
      <c r="B134" s="51" t="s">
        <v>116</v>
      </c>
      <c r="C134" s="36" t="s">
        <v>62</v>
      </c>
      <c r="D134" s="36" t="s">
        <v>43</v>
      </c>
    </row>
    <row r="135" spans="1:6" x14ac:dyDescent="0.25">
      <c r="A135" s="26" t="s">
        <v>23</v>
      </c>
      <c r="B135" s="66" t="s">
        <v>117</v>
      </c>
      <c r="C135" s="67">
        <v>0.06</v>
      </c>
      <c r="D135" s="68">
        <f>D152*C135</f>
        <v>320.68107344082961</v>
      </c>
      <c r="E135" s="69"/>
    </row>
    <row r="136" spans="1:6" x14ac:dyDescent="0.25">
      <c r="A136" s="37" t="s">
        <v>25</v>
      </c>
      <c r="B136" s="46" t="s">
        <v>118</v>
      </c>
      <c r="C136" s="70">
        <v>6.7900000000000002E-2</v>
      </c>
      <c r="D136" s="71">
        <f>C136*(D152+D135)</f>
        <v>384.67832633050455</v>
      </c>
    </row>
    <row r="137" spans="1:6" x14ac:dyDescent="0.25">
      <c r="A137" s="37" t="s">
        <v>27</v>
      </c>
      <c r="B137" s="46" t="s">
        <v>119</v>
      </c>
      <c r="C137" s="70">
        <f>SUM(C138:C140)</f>
        <v>8.6499999999999994E-2</v>
      </c>
      <c r="D137" s="71">
        <f>((D152+D135+D136)/(1-C137))*C137</f>
        <v>572.88319900465206</v>
      </c>
    </row>
    <row r="138" spans="1:6" x14ac:dyDescent="0.25">
      <c r="A138" s="37"/>
      <c r="B138" s="46" t="s">
        <v>120</v>
      </c>
      <c r="C138" s="72">
        <f>3.65%</f>
        <v>3.6499999999999998E-2</v>
      </c>
      <c r="D138" s="71">
        <f>((D152+D135+D136)/(1-C137))*C138</f>
        <v>241.73684119849483</v>
      </c>
    </row>
    <row r="139" spans="1:6" x14ac:dyDescent="0.25">
      <c r="A139" s="37"/>
      <c r="B139" s="46" t="s">
        <v>121</v>
      </c>
      <c r="C139" s="70">
        <v>0</v>
      </c>
      <c r="D139" s="71">
        <f>((D152+D135+D136)/(1-C137))*C139</f>
        <v>0</v>
      </c>
      <c r="F139" s="73"/>
    </row>
    <row r="140" spans="1:6" x14ac:dyDescent="0.25">
      <c r="A140" s="37"/>
      <c r="B140" s="46" t="s">
        <v>122</v>
      </c>
      <c r="C140" s="70">
        <v>0.05</v>
      </c>
      <c r="D140" s="71">
        <f>((D152+D135+D136)/(1-C137))*C140</f>
        <v>331.14635780615731</v>
      </c>
    </row>
    <row r="141" spans="1:6" ht="15.75" customHeight="1" x14ac:dyDescent="0.25">
      <c r="A141" s="164" t="s">
        <v>73</v>
      </c>
      <c r="B141" s="164"/>
      <c r="C141" s="49">
        <f>SUM(C135:C137)</f>
        <v>0.21440000000000001</v>
      </c>
      <c r="D141" s="74">
        <f>SUM(D135:D137)</f>
        <v>1278.2425987759862</v>
      </c>
    </row>
    <row r="144" spans="1:6" x14ac:dyDescent="0.25">
      <c r="A144" s="165" t="s">
        <v>123</v>
      </c>
      <c r="B144" s="165"/>
      <c r="C144" s="165"/>
      <c r="D144" s="165"/>
    </row>
    <row r="146" spans="1:4" ht="15.75" customHeight="1" x14ac:dyDescent="0.25">
      <c r="A146" s="36"/>
      <c r="B146" s="164" t="s">
        <v>124</v>
      </c>
      <c r="C146" s="164"/>
      <c r="D146" s="36" t="s">
        <v>43</v>
      </c>
    </row>
    <row r="147" spans="1:4" ht="15.75" customHeight="1" x14ac:dyDescent="0.25">
      <c r="A147" s="36" t="s">
        <v>23</v>
      </c>
      <c r="B147" s="163" t="s">
        <v>41</v>
      </c>
      <c r="C147" s="163"/>
      <c r="D147" s="39">
        <f>D29</f>
        <v>2448.6000000000004</v>
      </c>
    </row>
    <row r="148" spans="1:4" ht="15.75" customHeight="1" x14ac:dyDescent="0.25">
      <c r="A148" s="36" t="s">
        <v>25</v>
      </c>
      <c r="B148" s="163" t="s">
        <v>53</v>
      </c>
      <c r="C148" s="163"/>
      <c r="D148" s="39">
        <f>D77</f>
        <v>2266.5941417333333</v>
      </c>
    </row>
    <row r="149" spans="1:4" ht="15.75" customHeight="1" x14ac:dyDescent="0.25">
      <c r="A149" s="36" t="s">
        <v>27</v>
      </c>
      <c r="B149" s="163" t="s">
        <v>85</v>
      </c>
      <c r="C149" s="163"/>
      <c r="D149" s="39">
        <f>D89</f>
        <v>163.33522333333335</v>
      </c>
    </row>
    <row r="150" spans="1:4" ht="15.75" customHeight="1" x14ac:dyDescent="0.25">
      <c r="A150" s="36" t="s">
        <v>29</v>
      </c>
      <c r="B150" s="163" t="s">
        <v>93</v>
      </c>
      <c r="C150" s="163"/>
      <c r="D150" s="39">
        <f>D121</f>
        <v>358.14531132811209</v>
      </c>
    </row>
    <row r="151" spans="1:4" ht="15.75" customHeight="1" x14ac:dyDescent="0.25">
      <c r="A151" s="36" t="s">
        <v>48</v>
      </c>
      <c r="B151" s="163" t="s">
        <v>111</v>
      </c>
      <c r="C151" s="163"/>
      <c r="D151" s="39">
        <f>D129</f>
        <v>108.00988095238095</v>
      </c>
    </row>
    <row r="152" spans="1:4" ht="15.75" customHeight="1" x14ac:dyDescent="0.25">
      <c r="A152" s="164" t="s">
        <v>125</v>
      </c>
      <c r="B152" s="164"/>
      <c r="C152" s="164"/>
      <c r="D152" s="40">
        <f>SUM(D147:D151)</f>
        <v>5344.6845573471601</v>
      </c>
    </row>
    <row r="153" spans="1:4" ht="15.75" customHeight="1" x14ac:dyDescent="0.25">
      <c r="A153" s="36" t="s">
        <v>50</v>
      </c>
      <c r="B153" s="163" t="s">
        <v>126</v>
      </c>
      <c r="C153" s="163"/>
      <c r="D153" s="39">
        <f>D141</f>
        <v>1278.2425987759862</v>
      </c>
    </row>
    <row r="154" spans="1:4" ht="15.75" customHeight="1" x14ac:dyDescent="0.25">
      <c r="A154" s="164" t="s">
        <v>127</v>
      </c>
      <c r="B154" s="164"/>
      <c r="C154" s="164"/>
      <c r="D154" s="40">
        <f>TRUNC(SUM(D152:D153),2)</f>
        <v>6622.92</v>
      </c>
    </row>
  </sheetData>
  <mergeCells count="71">
    <mergeCell ref="A1:D1"/>
    <mergeCell ref="A2:D2"/>
    <mergeCell ref="A3:D3"/>
    <mergeCell ref="A5:D5"/>
    <mergeCell ref="C7:D7"/>
    <mergeCell ref="C8:D8"/>
    <mergeCell ref="C9:D9"/>
    <mergeCell ref="C10:D10"/>
    <mergeCell ref="C12:D12"/>
    <mergeCell ref="C13:D13"/>
    <mergeCell ref="C14:D14"/>
    <mergeCell ref="C15:D15"/>
    <mergeCell ref="C16:D16"/>
    <mergeCell ref="C17:D17"/>
    <mergeCell ref="C18:D18"/>
    <mergeCell ref="A20:D20"/>
    <mergeCell ref="B22:C22"/>
    <mergeCell ref="B23:C23"/>
    <mergeCell ref="B24:C24"/>
    <mergeCell ref="B25:C25"/>
    <mergeCell ref="B26:C26"/>
    <mergeCell ref="B27:C27"/>
    <mergeCell ref="B28:C28"/>
    <mergeCell ref="A29:C29"/>
    <mergeCell ref="A32:D32"/>
    <mergeCell ref="A34:D34"/>
    <mergeCell ref="B36:C36"/>
    <mergeCell ref="B37:C37"/>
    <mergeCell ref="B38:C38"/>
    <mergeCell ref="A39:C39"/>
    <mergeCell ref="A42:C42"/>
    <mergeCell ref="A44:D44"/>
    <mergeCell ref="A55:B55"/>
    <mergeCell ref="A58:D58"/>
    <mergeCell ref="A68:C68"/>
    <mergeCell ref="A71:D71"/>
    <mergeCell ref="B73:C73"/>
    <mergeCell ref="B74:C74"/>
    <mergeCell ref="B75:C75"/>
    <mergeCell ref="B76:C76"/>
    <mergeCell ref="A77:C77"/>
    <mergeCell ref="A80:D80"/>
    <mergeCell ref="A89:B89"/>
    <mergeCell ref="A92:D92"/>
    <mergeCell ref="A95:D95"/>
    <mergeCell ref="A104:B104"/>
    <mergeCell ref="A106:B106"/>
    <mergeCell ref="A109:D109"/>
    <mergeCell ref="A113:B113"/>
    <mergeCell ref="A116:D116"/>
    <mergeCell ref="B118:C118"/>
    <mergeCell ref="B119:C119"/>
    <mergeCell ref="B120:C120"/>
    <mergeCell ref="A121:C121"/>
    <mergeCell ref="A124:D124"/>
    <mergeCell ref="B126:C126"/>
    <mergeCell ref="B127:C127"/>
    <mergeCell ref="B128:C128"/>
    <mergeCell ref="A129:C129"/>
    <mergeCell ref="A132:D132"/>
    <mergeCell ref="A141:B141"/>
    <mergeCell ref="A144:D144"/>
    <mergeCell ref="B146:C146"/>
    <mergeCell ref="B147:C147"/>
    <mergeCell ref="B148:C148"/>
    <mergeCell ref="A154:C154"/>
    <mergeCell ref="B149:C149"/>
    <mergeCell ref="B150:C150"/>
    <mergeCell ref="B151:C151"/>
    <mergeCell ref="A152:C152"/>
    <mergeCell ref="B153:C153"/>
  </mergeCells>
  <printOptions horizontalCentered="1"/>
  <pageMargins left="0.51180555555555596" right="0.51180555555555596" top="1.1027777777777801" bottom="0.78749999999999998" header="0.78749999999999998" footer="0.511811023622047"/>
  <pageSetup paperSize="9" scale="79" fitToHeight="0" orientation="portrait" horizontalDpi="300" verticalDpi="300" r:id="rId1"/>
  <headerFooter>
    <oddHeader>&amp;C&amp;"Times New Roman,Normal"&amp;12&amp;F - &amp;A - Pág. &amp;P/&amp;N</oddHeader>
  </headerFooter>
  <rowBreaks count="2" manualBreakCount="2">
    <brk id="57" max="16383" man="1"/>
    <brk id="115" max="16383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153"/>
  <sheetViews>
    <sheetView showGridLines="0" zoomScaleNormal="100" workbookViewId="0">
      <selection activeCell="D141" sqref="D141"/>
    </sheetView>
  </sheetViews>
  <sheetFormatPr defaultColWidth="9.140625" defaultRowHeight="15.75" x14ac:dyDescent="0.25"/>
  <cols>
    <col min="1" max="1" width="9.140625" style="30"/>
    <col min="2" max="2" width="73.42578125" style="30" customWidth="1"/>
    <col min="3" max="4" width="16.85546875" style="30" customWidth="1"/>
    <col min="5" max="5" width="12.7109375" style="30" customWidth="1"/>
    <col min="6" max="6" width="12" style="30" customWidth="1"/>
    <col min="7" max="7" width="15.140625" style="30" customWidth="1"/>
    <col min="8" max="1024" width="9.140625" style="30"/>
  </cols>
  <sheetData>
    <row r="1" spans="1:6" x14ac:dyDescent="0.25">
      <c r="A1" s="160" t="s">
        <v>0</v>
      </c>
      <c r="B1" s="160"/>
      <c r="C1" s="160"/>
      <c r="D1" s="160"/>
    </row>
    <row r="2" spans="1:6" x14ac:dyDescent="0.25">
      <c r="A2" s="160" t="s">
        <v>1</v>
      </c>
      <c r="B2" s="160"/>
      <c r="C2" s="160"/>
      <c r="D2" s="160"/>
    </row>
    <row r="3" spans="1:6" x14ac:dyDescent="0.25">
      <c r="A3" s="177" t="s">
        <v>2</v>
      </c>
      <c r="B3" s="177"/>
      <c r="C3" s="177"/>
      <c r="D3" s="177"/>
    </row>
    <row r="4" spans="1:6" x14ac:dyDescent="0.25">
      <c r="A4" s="31"/>
      <c r="B4" s="31"/>
      <c r="C4" s="31"/>
      <c r="D4" s="31"/>
    </row>
    <row r="5" spans="1:6" ht="24.75" customHeight="1" x14ac:dyDescent="0.25">
      <c r="A5" s="178" t="s">
        <v>3</v>
      </c>
      <c r="B5" s="178"/>
      <c r="C5" s="178"/>
      <c r="D5" s="178"/>
    </row>
    <row r="6" spans="1:6" x14ac:dyDescent="0.25">
      <c r="A6" s="31"/>
      <c r="B6" s="31"/>
      <c r="C6" s="31"/>
      <c r="D6" s="31"/>
    </row>
    <row r="7" spans="1:6" ht="15.75" customHeight="1" x14ac:dyDescent="0.25">
      <c r="A7" s="32" t="s">
        <v>23</v>
      </c>
      <c r="B7" s="33" t="s">
        <v>24</v>
      </c>
      <c r="C7" s="175"/>
      <c r="D7" s="175"/>
    </row>
    <row r="8" spans="1:6" x14ac:dyDescent="0.25">
      <c r="A8" s="32" t="s">
        <v>25</v>
      </c>
      <c r="B8" s="33" t="s">
        <v>26</v>
      </c>
      <c r="C8" s="175"/>
      <c r="D8" s="175"/>
    </row>
    <row r="9" spans="1:6" x14ac:dyDescent="0.25">
      <c r="A9" s="32" t="s">
        <v>27</v>
      </c>
      <c r="B9" s="33" t="s">
        <v>28</v>
      </c>
      <c r="C9" s="175"/>
      <c r="D9" s="175"/>
    </row>
    <row r="10" spans="1:6" x14ac:dyDescent="0.25">
      <c r="A10" s="32" t="s">
        <v>29</v>
      </c>
      <c r="B10" s="33" t="s">
        <v>30</v>
      </c>
      <c r="C10" s="175"/>
      <c r="D10" s="175"/>
    </row>
    <row r="11" spans="1:6" x14ac:dyDescent="0.25">
      <c r="A11" s="34"/>
      <c r="B11" s="35"/>
      <c r="C11" s="34"/>
      <c r="D11" s="34"/>
      <c r="E11" s="34"/>
      <c r="F11" s="34"/>
    </row>
    <row r="12" spans="1:6" ht="31.5" customHeight="1" x14ac:dyDescent="0.25">
      <c r="A12" s="34"/>
      <c r="B12" s="33" t="s">
        <v>31</v>
      </c>
      <c r="C12" s="175" t="s">
        <v>32</v>
      </c>
      <c r="D12" s="175"/>
      <c r="E12" s="34"/>
      <c r="F12" s="34"/>
    </row>
    <row r="13" spans="1:6" ht="15.75" customHeight="1" x14ac:dyDescent="0.25">
      <c r="A13" s="34"/>
      <c r="B13" s="33" t="s">
        <v>33</v>
      </c>
      <c r="C13" s="176" t="s">
        <v>34</v>
      </c>
      <c r="D13" s="176"/>
      <c r="E13" s="34"/>
      <c r="F13" s="34"/>
    </row>
    <row r="14" spans="1:6" ht="54" x14ac:dyDescent="0.25">
      <c r="A14" s="34"/>
      <c r="B14" s="33" t="s">
        <v>35</v>
      </c>
      <c r="C14" s="172">
        <v>1836.16</v>
      </c>
      <c r="D14" s="172"/>
      <c r="E14" s="34"/>
      <c r="F14" s="34"/>
    </row>
    <row r="15" spans="1:6" ht="15.75" customHeight="1" x14ac:dyDescent="0.25">
      <c r="A15" s="34"/>
      <c r="B15" s="33" t="s">
        <v>36</v>
      </c>
      <c r="C15" s="173" t="s">
        <v>37</v>
      </c>
      <c r="D15" s="173"/>
      <c r="E15" s="34"/>
      <c r="F15" s="34"/>
    </row>
    <row r="16" spans="1:6" x14ac:dyDescent="0.25">
      <c r="A16" s="34"/>
      <c r="B16" s="33" t="s">
        <v>38</v>
      </c>
      <c r="C16" s="174">
        <v>44593</v>
      </c>
      <c r="D16" s="174"/>
      <c r="E16" s="34"/>
      <c r="F16" s="34"/>
    </row>
    <row r="17" spans="1:6" ht="15.75" customHeight="1" x14ac:dyDescent="0.25">
      <c r="A17" s="34"/>
      <c r="B17" s="33" t="s">
        <v>39</v>
      </c>
      <c r="C17" s="175" t="s">
        <v>15</v>
      </c>
      <c r="D17" s="175"/>
      <c r="E17" s="34"/>
      <c r="F17" s="34"/>
    </row>
    <row r="18" spans="1:6" x14ac:dyDescent="0.25">
      <c r="A18" s="34"/>
      <c r="B18" s="33" t="s">
        <v>40</v>
      </c>
      <c r="C18" s="175">
        <v>1</v>
      </c>
      <c r="D18" s="175"/>
      <c r="E18" s="34"/>
      <c r="F18" s="34"/>
    </row>
    <row r="20" spans="1:6" x14ac:dyDescent="0.25">
      <c r="A20" s="165" t="s">
        <v>41</v>
      </c>
      <c r="B20" s="165"/>
      <c r="C20" s="165"/>
      <c r="D20" s="165"/>
    </row>
    <row r="22" spans="1:6" ht="15.75" customHeight="1" x14ac:dyDescent="0.25">
      <c r="A22" s="36">
        <v>1</v>
      </c>
      <c r="B22" s="164" t="s">
        <v>42</v>
      </c>
      <c r="C22" s="164"/>
      <c r="D22" s="36" t="s">
        <v>43</v>
      </c>
    </row>
    <row r="23" spans="1:6" ht="15.75" customHeight="1" x14ac:dyDescent="0.25">
      <c r="A23" s="37" t="s">
        <v>23</v>
      </c>
      <c r="B23" s="163" t="s">
        <v>44</v>
      </c>
      <c r="C23" s="163"/>
      <c r="D23" s="39">
        <f>C14</f>
        <v>1836.16</v>
      </c>
    </row>
    <row r="24" spans="1:6" ht="15.75" customHeight="1" x14ac:dyDescent="0.25">
      <c r="A24" s="37" t="s">
        <v>25</v>
      </c>
      <c r="B24" s="163" t="s">
        <v>45</v>
      </c>
      <c r="C24" s="163"/>
      <c r="D24" s="39">
        <v>0</v>
      </c>
    </row>
    <row r="25" spans="1:6" ht="15.75" customHeight="1" x14ac:dyDescent="0.25">
      <c r="A25" s="37" t="s">
        <v>27</v>
      </c>
      <c r="B25" s="163" t="s">
        <v>46</v>
      </c>
      <c r="C25" s="163"/>
      <c r="D25" s="39">
        <v>0</v>
      </c>
    </row>
    <row r="26" spans="1:6" ht="15.75" customHeight="1" x14ac:dyDescent="0.25">
      <c r="A26" s="37" t="s">
        <v>29</v>
      </c>
      <c r="B26" s="163" t="s">
        <v>47</v>
      </c>
      <c r="C26" s="163"/>
      <c r="D26" s="39">
        <v>0</v>
      </c>
    </row>
    <row r="27" spans="1:6" ht="15.75" customHeight="1" x14ac:dyDescent="0.25">
      <c r="A27" s="37" t="s">
        <v>48</v>
      </c>
      <c r="B27" s="163" t="s">
        <v>49</v>
      </c>
      <c r="C27" s="163"/>
      <c r="D27" s="39">
        <v>0</v>
      </c>
    </row>
    <row r="28" spans="1:6" ht="15.75" customHeight="1" x14ac:dyDescent="0.25">
      <c r="A28" s="37" t="s">
        <v>50</v>
      </c>
      <c r="B28" s="163" t="s">
        <v>51</v>
      </c>
      <c r="C28" s="163"/>
      <c r="D28" s="39">
        <v>0</v>
      </c>
    </row>
    <row r="29" spans="1:6" ht="15.75" customHeight="1" x14ac:dyDescent="0.25">
      <c r="A29" s="164" t="s">
        <v>52</v>
      </c>
      <c r="B29" s="164"/>
      <c r="C29" s="164"/>
      <c r="D29" s="40">
        <f>SUM(D23:D28)</f>
        <v>1836.16</v>
      </c>
      <c r="E29" s="41"/>
    </row>
    <row r="32" spans="1:6" x14ac:dyDescent="0.25">
      <c r="A32" s="165" t="s">
        <v>53</v>
      </c>
      <c r="B32" s="165"/>
      <c r="C32" s="165"/>
      <c r="D32" s="165"/>
    </row>
    <row r="33" spans="1:6" x14ac:dyDescent="0.25">
      <c r="A33" s="42"/>
    </row>
    <row r="34" spans="1:6" x14ac:dyDescent="0.25">
      <c r="A34" s="166" t="s">
        <v>54</v>
      </c>
      <c r="B34" s="166"/>
      <c r="C34" s="166"/>
      <c r="D34" s="166"/>
    </row>
    <row r="36" spans="1:6" ht="15.75" customHeight="1" x14ac:dyDescent="0.25">
      <c r="A36" s="36" t="s">
        <v>55</v>
      </c>
      <c r="B36" s="164" t="s">
        <v>56</v>
      </c>
      <c r="C36" s="164"/>
      <c r="D36" s="36" t="s">
        <v>43</v>
      </c>
    </row>
    <row r="37" spans="1:6" ht="15.75" customHeight="1" x14ac:dyDescent="0.25">
      <c r="A37" s="37" t="s">
        <v>23</v>
      </c>
      <c r="B37" s="163" t="s">
        <v>57</v>
      </c>
      <c r="C37" s="163"/>
      <c r="D37" s="39">
        <f>D29/12</f>
        <v>153.01333333333335</v>
      </c>
    </row>
    <row r="38" spans="1:6" ht="15.75" customHeight="1" x14ac:dyDescent="0.25">
      <c r="A38" s="149" t="s">
        <v>25</v>
      </c>
      <c r="B38" s="171" t="s">
        <v>261</v>
      </c>
      <c r="C38" s="171"/>
      <c r="D38" s="150">
        <f>((D29/3)/12)</f>
        <v>51.004444444444452</v>
      </c>
    </row>
    <row r="39" spans="1:6" ht="15.75" customHeight="1" x14ac:dyDescent="0.25">
      <c r="A39" s="164" t="s">
        <v>52</v>
      </c>
      <c r="B39" s="164"/>
      <c r="C39" s="164"/>
      <c r="D39" s="40">
        <f>SUM(D37:D38)</f>
        <v>204.01777777777781</v>
      </c>
      <c r="F39" s="43"/>
    </row>
    <row r="40" spans="1:6" ht="15.75" customHeight="1" x14ac:dyDescent="0.25">
      <c r="A40" s="44"/>
      <c r="B40" s="44"/>
      <c r="C40" s="44"/>
      <c r="D40" s="45"/>
      <c r="F40" s="43"/>
    </row>
    <row r="41" spans="1:6" ht="15.75" customHeight="1" x14ac:dyDescent="0.25">
      <c r="F41" s="43"/>
    </row>
    <row r="42" spans="1:6" x14ac:dyDescent="0.25">
      <c r="A42" s="168" t="s">
        <v>58</v>
      </c>
      <c r="B42" s="168"/>
      <c r="C42" s="168"/>
      <c r="D42" s="40">
        <f>D29+D39</f>
        <v>2040.1777777777779</v>
      </c>
    </row>
    <row r="44" spans="1:6" ht="15.75" customHeight="1" x14ac:dyDescent="0.25">
      <c r="A44" s="169" t="s">
        <v>59</v>
      </c>
      <c r="B44" s="169"/>
      <c r="C44" s="169"/>
      <c r="D44" s="169"/>
    </row>
    <row r="46" spans="1:6" x14ac:dyDescent="0.25">
      <c r="A46" s="36" t="s">
        <v>60</v>
      </c>
      <c r="B46" s="36" t="s">
        <v>61</v>
      </c>
      <c r="C46" s="36" t="s">
        <v>62</v>
      </c>
      <c r="D46" s="36" t="s">
        <v>43</v>
      </c>
    </row>
    <row r="47" spans="1:6" x14ac:dyDescent="0.25">
      <c r="A47" s="37" t="s">
        <v>23</v>
      </c>
      <c r="B47" s="46" t="s">
        <v>63</v>
      </c>
      <c r="C47" s="47">
        <v>0.2</v>
      </c>
      <c r="D47" s="48">
        <f>C47*D42</f>
        <v>408.03555555555562</v>
      </c>
    </row>
    <row r="48" spans="1:6" x14ac:dyDescent="0.25">
      <c r="A48" s="37" t="s">
        <v>25</v>
      </c>
      <c r="B48" s="46" t="s">
        <v>64</v>
      </c>
      <c r="C48" s="47">
        <v>2.5000000000000001E-2</v>
      </c>
      <c r="D48" s="48">
        <f>C48*D42</f>
        <v>51.004444444444452</v>
      </c>
    </row>
    <row r="49" spans="1:4" x14ac:dyDescent="0.25">
      <c r="A49" s="37" t="s">
        <v>27</v>
      </c>
      <c r="B49" s="46" t="s">
        <v>65</v>
      </c>
      <c r="C49" s="47">
        <f>3%*2</f>
        <v>0.06</v>
      </c>
      <c r="D49" s="48">
        <f>C49*D42</f>
        <v>122.41066666666667</v>
      </c>
    </row>
    <row r="50" spans="1:4" x14ac:dyDescent="0.25">
      <c r="A50" s="37" t="s">
        <v>29</v>
      </c>
      <c r="B50" s="46" t="s">
        <v>66</v>
      </c>
      <c r="C50" s="47">
        <v>1.4999999999999999E-2</v>
      </c>
      <c r="D50" s="48">
        <f>C50*D42</f>
        <v>30.602666666666668</v>
      </c>
    </row>
    <row r="51" spans="1:4" x14ac:dyDescent="0.25">
      <c r="A51" s="37" t="s">
        <v>48</v>
      </c>
      <c r="B51" s="46" t="s">
        <v>67</v>
      </c>
      <c r="C51" s="47">
        <v>0.01</v>
      </c>
      <c r="D51" s="48">
        <f>C51*D42</f>
        <v>20.401777777777781</v>
      </c>
    </row>
    <row r="52" spans="1:4" x14ac:dyDescent="0.25">
      <c r="A52" s="37" t="s">
        <v>50</v>
      </c>
      <c r="B52" s="46" t="s">
        <v>68</v>
      </c>
      <c r="C52" s="47">
        <v>6.0000000000000001E-3</v>
      </c>
      <c r="D52" s="48">
        <f>C52*D42</f>
        <v>12.241066666666669</v>
      </c>
    </row>
    <row r="53" spans="1:4" x14ac:dyDescent="0.25">
      <c r="A53" s="37" t="s">
        <v>69</v>
      </c>
      <c r="B53" s="46" t="s">
        <v>70</v>
      </c>
      <c r="C53" s="47">
        <v>2E-3</v>
      </c>
      <c r="D53" s="48">
        <f>C53*D42</f>
        <v>4.0803555555555562</v>
      </c>
    </row>
    <row r="54" spans="1:4" x14ac:dyDescent="0.25">
      <c r="A54" s="37" t="s">
        <v>71</v>
      </c>
      <c r="B54" s="46" t="s">
        <v>72</v>
      </c>
      <c r="C54" s="47">
        <v>0.08</v>
      </c>
      <c r="D54" s="48">
        <f>C54*D42</f>
        <v>163.21422222222225</v>
      </c>
    </row>
    <row r="55" spans="1:4" ht="15.75" customHeight="1" x14ac:dyDescent="0.25">
      <c r="A55" s="164" t="s">
        <v>73</v>
      </c>
      <c r="B55" s="164"/>
      <c r="C55" s="49">
        <f>SUM(C47:C54)</f>
        <v>0.39800000000000008</v>
      </c>
      <c r="D55" s="50">
        <f>SUM(D47:D54)</f>
        <v>811.99075555555567</v>
      </c>
    </row>
    <row r="58" spans="1:4" x14ac:dyDescent="0.25">
      <c r="A58" s="166" t="s">
        <v>74</v>
      </c>
      <c r="B58" s="166"/>
      <c r="C58" s="166"/>
      <c r="D58" s="166"/>
    </row>
    <row r="60" spans="1:4" x14ac:dyDescent="0.25">
      <c r="A60" s="36" t="s">
        <v>75</v>
      </c>
      <c r="B60" s="51" t="s">
        <v>76</v>
      </c>
      <c r="C60" s="36" t="s">
        <v>43</v>
      </c>
      <c r="D60" s="36" t="s">
        <v>43</v>
      </c>
    </row>
    <row r="61" spans="1:4" x14ac:dyDescent="0.25">
      <c r="A61" s="37" t="s">
        <v>23</v>
      </c>
      <c r="B61" s="38" t="s">
        <v>77</v>
      </c>
      <c r="C61" s="52">
        <v>4</v>
      </c>
      <c r="D61" s="48">
        <f>IF(((C61*44)-(D23*6%))&gt;0,((C61*44)-(D23*6%)),0)</f>
        <v>65.830399999999997</v>
      </c>
    </row>
    <row r="62" spans="1:4" x14ac:dyDescent="0.25">
      <c r="A62" s="37" t="s">
        <v>25</v>
      </c>
      <c r="B62" s="46" t="s">
        <v>78</v>
      </c>
      <c r="C62" s="53">
        <v>500.85</v>
      </c>
      <c r="D62" s="48">
        <f>C62*0.8</f>
        <v>400.68000000000006</v>
      </c>
    </row>
    <row r="63" spans="1:4" ht="15.75" customHeight="1" x14ac:dyDescent="0.25">
      <c r="A63" s="37" t="s">
        <v>27</v>
      </c>
      <c r="B63" s="163" t="s">
        <v>79</v>
      </c>
      <c r="C63" s="163"/>
      <c r="D63" s="48">
        <f>D62/12</f>
        <v>33.390000000000008</v>
      </c>
    </row>
    <row r="64" spans="1:4" ht="15.75" customHeight="1" x14ac:dyDescent="0.25">
      <c r="A64" s="37" t="s">
        <v>29</v>
      </c>
      <c r="B64" s="163" t="s">
        <v>80</v>
      </c>
      <c r="C64" s="163"/>
      <c r="D64" s="48">
        <v>71.5</v>
      </c>
    </row>
    <row r="65" spans="1:4" ht="15.75" customHeight="1" x14ac:dyDescent="0.25">
      <c r="A65" s="37" t="s">
        <v>48</v>
      </c>
      <c r="B65" s="163" t="s">
        <v>81</v>
      </c>
      <c r="C65" s="163"/>
      <c r="D65" s="48">
        <v>23.5</v>
      </c>
    </row>
    <row r="66" spans="1:4" ht="15.75" customHeight="1" x14ac:dyDescent="0.25">
      <c r="A66" s="37" t="s">
        <v>50</v>
      </c>
      <c r="B66" s="163" t="s">
        <v>82</v>
      </c>
      <c r="C66" s="163"/>
      <c r="D66" s="48">
        <v>23.5</v>
      </c>
    </row>
    <row r="67" spans="1:4" ht="15.75" customHeight="1" x14ac:dyDescent="0.25">
      <c r="A67" s="164" t="s">
        <v>52</v>
      </c>
      <c r="B67" s="164"/>
      <c r="C67" s="164"/>
      <c r="D67" s="54">
        <f>SUM(D61:D66)</f>
        <v>618.40039999999999</v>
      </c>
    </row>
    <row r="70" spans="1:4" x14ac:dyDescent="0.25">
      <c r="A70" s="166" t="s">
        <v>83</v>
      </c>
      <c r="B70" s="166"/>
      <c r="C70" s="166"/>
      <c r="D70" s="166"/>
    </row>
    <row r="72" spans="1:4" ht="15.75" customHeight="1" x14ac:dyDescent="0.25">
      <c r="A72" s="36">
        <v>2</v>
      </c>
      <c r="B72" s="164" t="s">
        <v>84</v>
      </c>
      <c r="C72" s="164"/>
      <c r="D72" s="36" t="s">
        <v>43</v>
      </c>
    </row>
    <row r="73" spans="1:4" ht="15.75" customHeight="1" x14ac:dyDescent="0.25">
      <c r="A73" s="37" t="s">
        <v>55</v>
      </c>
      <c r="B73" s="163" t="s">
        <v>262</v>
      </c>
      <c r="C73" s="163"/>
      <c r="D73" s="48">
        <f>D39</f>
        <v>204.01777777777781</v>
      </c>
    </row>
    <row r="74" spans="1:4" ht="15.75" customHeight="1" x14ac:dyDescent="0.25">
      <c r="A74" s="37" t="s">
        <v>60</v>
      </c>
      <c r="B74" s="163" t="s">
        <v>61</v>
      </c>
      <c r="C74" s="163"/>
      <c r="D74" s="48">
        <f>D55</f>
        <v>811.99075555555567</v>
      </c>
    </row>
    <row r="75" spans="1:4" ht="15.75" customHeight="1" x14ac:dyDescent="0.25">
      <c r="A75" s="37" t="s">
        <v>75</v>
      </c>
      <c r="B75" s="163" t="s">
        <v>76</v>
      </c>
      <c r="C75" s="163"/>
      <c r="D75" s="48">
        <f>D67</f>
        <v>618.40039999999999</v>
      </c>
    </row>
    <row r="76" spans="1:4" ht="15.75" customHeight="1" x14ac:dyDescent="0.25">
      <c r="A76" s="164" t="s">
        <v>52</v>
      </c>
      <c r="B76" s="164"/>
      <c r="C76" s="164"/>
      <c r="D76" s="54">
        <f>SUM(D73:D75)</f>
        <v>1634.4089333333336</v>
      </c>
    </row>
    <row r="77" spans="1:4" x14ac:dyDescent="0.25">
      <c r="A77" s="55"/>
    </row>
    <row r="79" spans="1:4" x14ac:dyDescent="0.25">
      <c r="A79" s="165" t="s">
        <v>85</v>
      </c>
      <c r="B79" s="165"/>
      <c r="C79" s="165"/>
      <c r="D79" s="165"/>
    </row>
    <row r="81" spans="1:6" x14ac:dyDescent="0.25">
      <c r="A81" s="36">
        <v>3</v>
      </c>
      <c r="B81" s="56" t="s">
        <v>86</v>
      </c>
      <c r="C81" s="36" t="s">
        <v>62</v>
      </c>
      <c r="D81" s="36" t="s">
        <v>43</v>
      </c>
    </row>
    <row r="82" spans="1:6" x14ac:dyDescent="0.25">
      <c r="A82" s="37" t="s">
        <v>23</v>
      </c>
      <c r="B82" s="57" t="s">
        <v>87</v>
      </c>
      <c r="C82" s="47">
        <f>0.05*(1/12)</f>
        <v>4.1666666666666666E-3</v>
      </c>
      <c r="D82" s="48">
        <f>C82*D29</f>
        <v>7.6506666666666669</v>
      </c>
    </row>
    <row r="83" spans="1:6" x14ac:dyDescent="0.25">
      <c r="A83" s="37" t="s">
        <v>25</v>
      </c>
      <c r="B83" s="57" t="s">
        <v>88</v>
      </c>
      <c r="C83" s="47">
        <f>C82*C54</f>
        <v>3.3333333333333332E-4</v>
      </c>
      <c r="D83" s="48">
        <f>C83*D29</f>
        <v>0.61205333333333334</v>
      </c>
    </row>
    <row r="84" spans="1:6" x14ac:dyDescent="0.25">
      <c r="A84" s="37" t="s">
        <v>27</v>
      </c>
      <c r="B84" s="57" t="s">
        <v>89</v>
      </c>
      <c r="C84" s="47">
        <f>0.08*0.4*0.9*(1+2/12+(1/3*1/12))</f>
        <v>3.44E-2</v>
      </c>
      <c r="D84" s="48">
        <f>C84*D29</f>
        <v>63.163904000000002</v>
      </c>
    </row>
    <row r="85" spans="1:6" x14ac:dyDescent="0.25">
      <c r="A85" s="37" t="s">
        <v>29</v>
      </c>
      <c r="B85" s="57" t="s">
        <v>90</v>
      </c>
      <c r="C85" s="58">
        <f>(7/30)/12</f>
        <v>1.9444444444444445E-2</v>
      </c>
      <c r="D85" s="48">
        <f>C85*D29</f>
        <v>35.703111111111113</v>
      </c>
    </row>
    <row r="86" spans="1:6" x14ac:dyDescent="0.25">
      <c r="A86" s="37" t="s">
        <v>48</v>
      </c>
      <c r="B86" s="57" t="s">
        <v>91</v>
      </c>
      <c r="C86" s="58">
        <f>C85*C55</f>
        <v>7.7388888888888906E-3</v>
      </c>
      <c r="D86" s="48">
        <f>C86*D29</f>
        <v>14.209838222222226</v>
      </c>
      <c r="F86" s="60"/>
    </row>
    <row r="87" spans="1:6" x14ac:dyDescent="0.25">
      <c r="A87" s="37" t="s">
        <v>50</v>
      </c>
      <c r="B87" s="57" t="s">
        <v>92</v>
      </c>
      <c r="C87" s="58">
        <f>C85*0.08*0.4</f>
        <v>6.2222222222222236E-4</v>
      </c>
      <c r="D87" s="48">
        <f>C87*D29</f>
        <v>1.1424995555555559</v>
      </c>
    </row>
    <row r="88" spans="1:6" ht="15.75" customHeight="1" x14ac:dyDescent="0.25">
      <c r="A88" s="167" t="s">
        <v>52</v>
      </c>
      <c r="B88" s="167"/>
      <c r="C88" s="49">
        <f>SUM(C82:C87)</f>
        <v>6.6705555555555546E-2</v>
      </c>
      <c r="D88" s="40">
        <f>SUM(D82:D87)</f>
        <v>122.48207288888891</v>
      </c>
    </row>
    <row r="91" spans="1:6" x14ac:dyDescent="0.25">
      <c r="A91" s="165" t="s">
        <v>93</v>
      </c>
      <c r="B91" s="165"/>
      <c r="C91" s="165"/>
      <c r="D91" s="165"/>
    </row>
    <row r="94" spans="1:6" x14ac:dyDescent="0.25">
      <c r="A94" s="166" t="s">
        <v>94</v>
      </c>
      <c r="B94" s="166"/>
      <c r="C94" s="166"/>
      <c r="D94" s="166"/>
    </row>
    <row r="95" spans="1:6" x14ac:dyDescent="0.25">
      <c r="A95" s="42"/>
    </row>
    <row r="96" spans="1:6" x14ac:dyDescent="0.25">
      <c r="A96" s="36" t="s">
        <v>95</v>
      </c>
      <c r="B96" s="61" t="s">
        <v>96</v>
      </c>
      <c r="C96" s="36" t="s">
        <v>62</v>
      </c>
      <c r="D96" s="36" t="s">
        <v>43</v>
      </c>
    </row>
    <row r="97" spans="1:5" x14ac:dyDescent="0.25">
      <c r="A97" s="37" t="s">
        <v>23</v>
      </c>
      <c r="B97" s="57" t="s">
        <v>97</v>
      </c>
      <c r="C97" s="47">
        <f>1/12</f>
        <v>8.3333333333333329E-2</v>
      </c>
      <c r="D97" s="48">
        <f>C97*D29</f>
        <v>153.01333333333332</v>
      </c>
    </row>
    <row r="98" spans="1:5" x14ac:dyDescent="0.25">
      <c r="A98" s="37" t="s">
        <v>25</v>
      </c>
      <c r="B98" s="57" t="s">
        <v>98</v>
      </c>
      <c r="C98" s="47">
        <f>1/30/12</f>
        <v>2.7777777777777779E-3</v>
      </c>
      <c r="D98" s="48">
        <f>C98*D29</f>
        <v>5.1004444444444452</v>
      </c>
    </row>
    <row r="99" spans="1:5" x14ac:dyDescent="0.25">
      <c r="A99" s="37" t="s">
        <v>27</v>
      </c>
      <c r="B99" s="57" t="s">
        <v>99</v>
      </c>
      <c r="C99" s="47">
        <f>(5/30/12)*0.015</f>
        <v>2.0833333333333332E-4</v>
      </c>
      <c r="D99" s="48">
        <f>C99*D29</f>
        <v>0.38253333333333334</v>
      </c>
      <c r="E99" s="60"/>
    </row>
    <row r="100" spans="1:5" x14ac:dyDescent="0.25">
      <c r="A100" s="37" t="s">
        <v>29</v>
      </c>
      <c r="B100" s="57" t="s">
        <v>100</v>
      </c>
      <c r="C100" s="47">
        <f>(1/12)*0.0178</f>
        <v>1.4833333333333332E-3</v>
      </c>
      <c r="D100" s="48">
        <f>C100*D29</f>
        <v>2.7236373333333335</v>
      </c>
    </row>
    <row r="101" spans="1:5" x14ac:dyDescent="0.25">
      <c r="A101" s="37" t="s">
        <v>48</v>
      </c>
      <c r="B101" s="57" t="s">
        <v>101</v>
      </c>
      <c r="C101" s="47">
        <f>11.11%*5.28%*50%</f>
        <v>2.9330399999999996E-3</v>
      </c>
      <c r="D101" s="48">
        <f>C101*D29</f>
        <v>5.3855307263999999</v>
      </c>
    </row>
    <row r="102" spans="1:5" x14ac:dyDescent="0.25">
      <c r="A102" s="37" t="s">
        <v>50</v>
      </c>
      <c r="B102" s="57" t="s">
        <v>102</v>
      </c>
      <c r="C102" s="47">
        <f>5/30/12</f>
        <v>1.3888888888888888E-2</v>
      </c>
      <c r="D102" s="48">
        <f>C102*D29</f>
        <v>25.502222222222223</v>
      </c>
    </row>
    <row r="103" spans="1:5" ht="15.75" customHeight="1" x14ac:dyDescent="0.25">
      <c r="A103" s="164" t="s">
        <v>103</v>
      </c>
      <c r="B103" s="164"/>
      <c r="C103" s="49">
        <f>SUM(C97:C102)</f>
        <v>0.10462470666666668</v>
      </c>
      <c r="D103" s="54">
        <f>SUM(D97:D102)</f>
        <v>192.10770139306663</v>
      </c>
    </row>
    <row r="104" spans="1:5" x14ac:dyDescent="0.25">
      <c r="A104" s="26" t="s">
        <v>69</v>
      </c>
      <c r="B104" s="62" t="s">
        <v>104</v>
      </c>
      <c r="C104" s="63">
        <f>C103*C55</f>
        <v>4.1640633253333344E-2</v>
      </c>
      <c r="D104" s="64">
        <f>C104*D29</f>
        <v>76.458865154440559</v>
      </c>
    </row>
    <row r="105" spans="1:5" ht="15.75" customHeight="1" x14ac:dyDescent="0.25">
      <c r="A105" s="164" t="s">
        <v>73</v>
      </c>
      <c r="B105" s="164"/>
      <c r="C105" s="49">
        <f>SUM(C103:C104)</f>
        <v>0.14626533992000001</v>
      </c>
      <c r="D105" s="40">
        <f>SUM(D103:D104)</f>
        <v>268.56656654750719</v>
      </c>
    </row>
    <row r="108" spans="1:5" x14ac:dyDescent="0.25">
      <c r="A108" s="166" t="s">
        <v>105</v>
      </c>
      <c r="B108" s="166"/>
      <c r="C108" s="166"/>
      <c r="D108" s="166"/>
    </row>
    <row r="109" spans="1:5" x14ac:dyDescent="0.25">
      <c r="A109" s="42"/>
    </row>
    <row r="110" spans="1:5" x14ac:dyDescent="0.25">
      <c r="A110" s="36" t="s">
        <v>106</v>
      </c>
      <c r="B110" s="61" t="s">
        <v>107</v>
      </c>
      <c r="C110" s="36" t="s">
        <v>62</v>
      </c>
      <c r="D110" s="36" t="s">
        <v>43</v>
      </c>
    </row>
    <row r="111" spans="1:5" x14ac:dyDescent="0.25">
      <c r="A111" s="37" t="s">
        <v>23</v>
      </c>
      <c r="B111" s="57" t="s">
        <v>108</v>
      </c>
      <c r="C111" s="47">
        <v>0</v>
      </c>
      <c r="D111" s="39">
        <f>C111*D29</f>
        <v>0</v>
      </c>
    </row>
    <row r="112" spans="1:5" ht="15.75" customHeight="1" x14ac:dyDescent="0.25">
      <c r="A112" s="167" t="s">
        <v>52</v>
      </c>
      <c r="B112" s="167"/>
      <c r="C112" s="49">
        <f>SUM(C111)</f>
        <v>0</v>
      </c>
      <c r="D112" s="40">
        <f>SUM(D111)</f>
        <v>0</v>
      </c>
    </row>
    <row r="115" spans="1:4" x14ac:dyDescent="0.25">
      <c r="A115" s="166" t="s">
        <v>109</v>
      </c>
      <c r="B115" s="166"/>
      <c r="C115" s="166"/>
      <c r="D115" s="166"/>
    </row>
    <row r="116" spans="1:4" x14ac:dyDescent="0.25">
      <c r="A116" s="42"/>
    </row>
    <row r="117" spans="1:4" ht="15.75" customHeight="1" x14ac:dyDescent="0.25">
      <c r="A117" s="36">
        <v>4</v>
      </c>
      <c r="B117" s="164" t="s">
        <v>110</v>
      </c>
      <c r="C117" s="164"/>
      <c r="D117" s="36" t="s">
        <v>43</v>
      </c>
    </row>
    <row r="118" spans="1:4" ht="15.75" customHeight="1" x14ac:dyDescent="0.25">
      <c r="A118" s="37" t="s">
        <v>95</v>
      </c>
      <c r="B118" s="163" t="s">
        <v>96</v>
      </c>
      <c r="C118" s="163"/>
      <c r="D118" s="39">
        <f>D105</f>
        <v>268.56656654750719</v>
      </c>
    </row>
    <row r="119" spans="1:4" ht="15.75" customHeight="1" x14ac:dyDescent="0.25">
      <c r="A119" s="37" t="s">
        <v>106</v>
      </c>
      <c r="B119" s="163" t="s">
        <v>107</v>
      </c>
      <c r="C119" s="163"/>
      <c r="D119" s="39">
        <f>D112</f>
        <v>0</v>
      </c>
    </row>
    <row r="120" spans="1:4" ht="15.75" customHeight="1" x14ac:dyDescent="0.25">
      <c r="A120" s="164" t="s">
        <v>52</v>
      </c>
      <c r="B120" s="164"/>
      <c r="C120" s="164"/>
      <c r="D120" s="40">
        <f>SUM(D118:D119)</f>
        <v>268.56656654750719</v>
      </c>
    </row>
    <row r="123" spans="1:4" x14ac:dyDescent="0.25">
      <c r="A123" s="165" t="s">
        <v>111</v>
      </c>
      <c r="B123" s="165"/>
      <c r="C123" s="165"/>
      <c r="D123" s="165"/>
    </row>
    <row r="125" spans="1:4" ht="15.75" customHeight="1" x14ac:dyDescent="0.25">
      <c r="A125" s="36">
        <v>5</v>
      </c>
      <c r="B125" s="164" t="s">
        <v>112</v>
      </c>
      <c r="C125" s="164"/>
      <c r="D125" s="36" t="s">
        <v>43</v>
      </c>
    </row>
    <row r="126" spans="1:4" ht="15.75" customHeight="1" x14ac:dyDescent="0.25">
      <c r="A126" s="37" t="s">
        <v>23</v>
      </c>
      <c r="B126" s="163" t="s">
        <v>113</v>
      </c>
      <c r="C126" s="163"/>
      <c r="D126" s="39">
        <f>Uniformes!H18</f>
        <v>109.36821428571427</v>
      </c>
    </row>
    <row r="127" spans="1:4" ht="15.75" customHeight="1" x14ac:dyDescent="0.25">
      <c r="A127" s="37" t="s">
        <v>25</v>
      </c>
      <c r="B127" s="163" t="s">
        <v>114</v>
      </c>
      <c r="C127" s="163"/>
      <c r="D127" s="65">
        <v>15</v>
      </c>
    </row>
    <row r="128" spans="1:4" ht="15.75" customHeight="1" x14ac:dyDescent="0.25">
      <c r="A128" s="164" t="s">
        <v>73</v>
      </c>
      <c r="B128" s="164"/>
      <c r="C128" s="164"/>
      <c r="D128" s="40">
        <f>SUM(D126:D127)</f>
        <v>124.36821428571427</v>
      </c>
    </row>
    <row r="131" spans="1:6" x14ac:dyDescent="0.25">
      <c r="A131" s="165" t="s">
        <v>115</v>
      </c>
      <c r="B131" s="165"/>
      <c r="C131" s="165"/>
      <c r="D131" s="165"/>
    </row>
    <row r="133" spans="1:6" x14ac:dyDescent="0.25">
      <c r="A133" s="36">
        <v>6</v>
      </c>
      <c r="B133" s="51" t="s">
        <v>116</v>
      </c>
      <c r="C133" s="36" t="s">
        <v>62</v>
      </c>
      <c r="D133" s="36" t="s">
        <v>43</v>
      </c>
    </row>
    <row r="134" spans="1:6" x14ac:dyDescent="0.25">
      <c r="A134" s="26" t="s">
        <v>23</v>
      </c>
      <c r="B134" s="66" t="s">
        <v>117</v>
      </c>
      <c r="C134" s="67">
        <v>0.06</v>
      </c>
      <c r="D134" s="68">
        <f>D151*C134</f>
        <v>239.15914722332664</v>
      </c>
      <c r="E134" s="69"/>
    </row>
    <row r="135" spans="1:6" x14ac:dyDescent="0.25">
      <c r="A135" s="37" t="s">
        <v>25</v>
      </c>
      <c r="B135" s="46" t="s">
        <v>118</v>
      </c>
      <c r="C135" s="70">
        <v>6.7900000000000002E-2</v>
      </c>
      <c r="D135" s="71">
        <f>C135*(D151+D134)</f>
        <v>286.88734103752853</v>
      </c>
    </row>
    <row r="136" spans="1:6" x14ac:dyDescent="0.25">
      <c r="A136" s="37" t="s">
        <v>27</v>
      </c>
      <c r="B136" s="46" t="s">
        <v>119</v>
      </c>
      <c r="C136" s="70">
        <f>SUM(C137:C139)</f>
        <v>6.6500000000000004E-2</v>
      </c>
      <c r="D136" s="71">
        <f>((D151+D134+D135)/(1-C136))*C136</f>
        <v>321.42490231230198</v>
      </c>
    </row>
    <row r="137" spans="1:6" x14ac:dyDescent="0.25">
      <c r="A137" s="37"/>
      <c r="B137" s="46" t="s">
        <v>120</v>
      </c>
      <c r="C137" s="72">
        <f>3.65%</f>
        <v>3.6499999999999998E-2</v>
      </c>
      <c r="D137" s="71">
        <f>((D151+D134+D135)/(1-C136))*C137</f>
        <v>176.42118698344393</v>
      </c>
    </row>
    <row r="138" spans="1:6" x14ac:dyDescent="0.25">
      <c r="A138" s="37"/>
      <c r="B138" s="46" t="s">
        <v>121</v>
      </c>
      <c r="C138" s="70">
        <v>0</v>
      </c>
      <c r="D138" s="71">
        <f>((D151+D134+D135)/(1-C136))*C138</f>
        <v>0</v>
      </c>
      <c r="F138" s="73"/>
    </row>
    <row r="139" spans="1:6" x14ac:dyDescent="0.25">
      <c r="A139" s="37"/>
      <c r="B139" s="46" t="s">
        <v>122</v>
      </c>
      <c r="C139" s="70">
        <v>0.03</v>
      </c>
      <c r="D139" s="71">
        <f>((D151+D134+D135)/(1-C136))*C139</f>
        <v>145.00371532885802</v>
      </c>
    </row>
    <row r="140" spans="1:6" ht="15.75" customHeight="1" x14ac:dyDescent="0.25">
      <c r="A140" s="164" t="s">
        <v>73</v>
      </c>
      <c r="B140" s="164"/>
      <c r="C140" s="49">
        <f>SUM(C134:C136)</f>
        <v>0.19440000000000002</v>
      </c>
      <c r="D140" s="74">
        <f>SUM(D134:D136)</f>
        <v>847.47139057315712</v>
      </c>
    </row>
    <row r="143" spans="1:6" x14ac:dyDescent="0.25">
      <c r="A143" s="165" t="s">
        <v>123</v>
      </c>
      <c r="B143" s="165"/>
      <c r="C143" s="165"/>
      <c r="D143" s="165"/>
    </row>
    <row r="145" spans="1:4" ht="15.75" customHeight="1" x14ac:dyDescent="0.25">
      <c r="A145" s="36"/>
      <c r="B145" s="164" t="s">
        <v>124</v>
      </c>
      <c r="C145" s="164"/>
      <c r="D145" s="36" t="s">
        <v>43</v>
      </c>
    </row>
    <row r="146" spans="1:4" ht="15.75" customHeight="1" x14ac:dyDescent="0.25">
      <c r="A146" s="36" t="s">
        <v>23</v>
      </c>
      <c r="B146" s="163" t="s">
        <v>41</v>
      </c>
      <c r="C146" s="163"/>
      <c r="D146" s="39">
        <f>D29</f>
        <v>1836.16</v>
      </c>
    </row>
    <row r="147" spans="1:4" ht="15.75" customHeight="1" x14ac:dyDescent="0.25">
      <c r="A147" s="36" t="s">
        <v>25</v>
      </c>
      <c r="B147" s="163" t="s">
        <v>53</v>
      </c>
      <c r="C147" s="163"/>
      <c r="D147" s="39">
        <f>D76</f>
        <v>1634.4089333333336</v>
      </c>
    </row>
    <row r="148" spans="1:4" ht="15.75" customHeight="1" x14ac:dyDescent="0.25">
      <c r="A148" s="36" t="s">
        <v>27</v>
      </c>
      <c r="B148" s="163" t="s">
        <v>85</v>
      </c>
      <c r="C148" s="163"/>
      <c r="D148" s="39">
        <f>D88</f>
        <v>122.48207288888891</v>
      </c>
    </row>
    <row r="149" spans="1:4" ht="15.75" customHeight="1" x14ac:dyDescent="0.25">
      <c r="A149" s="36" t="s">
        <v>29</v>
      </c>
      <c r="B149" s="163" t="s">
        <v>93</v>
      </c>
      <c r="C149" s="163"/>
      <c r="D149" s="39">
        <f>D120</f>
        <v>268.56656654750719</v>
      </c>
    </row>
    <row r="150" spans="1:4" ht="15.75" customHeight="1" x14ac:dyDescent="0.25">
      <c r="A150" s="36" t="s">
        <v>48</v>
      </c>
      <c r="B150" s="163" t="s">
        <v>111</v>
      </c>
      <c r="C150" s="163"/>
      <c r="D150" s="39">
        <f>D128</f>
        <v>124.36821428571427</v>
      </c>
    </row>
    <row r="151" spans="1:4" ht="15.75" customHeight="1" x14ac:dyDescent="0.25">
      <c r="A151" s="164" t="s">
        <v>125</v>
      </c>
      <c r="B151" s="164"/>
      <c r="C151" s="164"/>
      <c r="D151" s="40">
        <f>SUM(D146:D150)</f>
        <v>3985.9857870554442</v>
      </c>
    </row>
    <row r="152" spans="1:4" ht="15.75" customHeight="1" x14ac:dyDescent="0.25">
      <c r="A152" s="36" t="s">
        <v>50</v>
      </c>
      <c r="B152" s="163" t="s">
        <v>126</v>
      </c>
      <c r="C152" s="163"/>
      <c r="D152" s="39">
        <f>D140</f>
        <v>847.47139057315712</v>
      </c>
    </row>
    <row r="153" spans="1:4" ht="15.75" customHeight="1" x14ac:dyDescent="0.25">
      <c r="A153" s="164" t="s">
        <v>127</v>
      </c>
      <c r="B153" s="164"/>
      <c r="C153" s="164"/>
      <c r="D153" s="40">
        <f>TRUNC(SUM(D151:D152),2)</f>
        <v>4833.45</v>
      </c>
    </row>
  </sheetData>
  <mergeCells count="75">
    <mergeCell ref="A1:D1"/>
    <mergeCell ref="A2:D2"/>
    <mergeCell ref="A3:D3"/>
    <mergeCell ref="A5:D5"/>
    <mergeCell ref="C7:D7"/>
    <mergeCell ref="C8:D8"/>
    <mergeCell ref="C9:D9"/>
    <mergeCell ref="C10:D10"/>
    <mergeCell ref="C12:D12"/>
    <mergeCell ref="C13:D13"/>
    <mergeCell ref="C14:D14"/>
    <mergeCell ref="C15:D15"/>
    <mergeCell ref="C16:D16"/>
    <mergeCell ref="C17:D17"/>
    <mergeCell ref="C18:D18"/>
    <mergeCell ref="A20:D20"/>
    <mergeCell ref="B22:C22"/>
    <mergeCell ref="B23:C23"/>
    <mergeCell ref="B24:C24"/>
    <mergeCell ref="B25:C25"/>
    <mergeCell ref="B26:C26"/>
    <mergeCell ref="B27:C27"/>
    <mergeCell ref="B28:C28"/>
    <mergeCell ref="A29:C29"/>
    <mergeCell ref="A32:D32"/>
    <mergeCell ref="A34:D34"/>
    <mergeCell ref="B36:C36"/>
    <mergeCell ref="B37:C37"/>
    <mergeCell ref="B38:C38"/>
    <mergeCell ref="A39:C39"/>
    <mergeCell ref="A42:C42"/>
    <mergeCell ref="A44:D44"/>
    <mergeCell ref="A55:B55"/>
    <mergeCell ref="A58:D58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A88:B88"/>
    <mergeCell ref="A91:D91"/>
    <mergeCell ref="A94:D94"/>
    <mergeCell ref="A103:B103"/>
    <mergeCell ref="A105:B105"/>
    <mergeCell ref="A108:D108"/>
    <mergeCell ref="A112:B112"/>
    <mergeCell ref="A115:D115"/>
    <mergeCell ref="B117:C117"/>
    <mergeCell ref="B118:C118"/>
    <mergeCell ref="B119:C119"/>
    <mergeCell ref="A120:C120"/>
    <mergeCell ref="A123:D123"/>
    <mergeCell ref="B125:C125"/>
    <mergeCell ref="B126:C126"/>
    <mergeCell ref="B127:C127"/>
    <mergeCell ref="A128:C128"/>
    <mergeCell ref="A131:D131"/>
    <mergeCell ref="A140:B140"/>
    <mergeCell ref="A143:D143"/>
    <mergeCell ref="B145:C145"/>
    <mergeCell ref="B146:C146"/>
    <mergeCell ref="B147:C147"/>
    <mergeCell ref="B148:C148"/>
    <mergeCell ref="B149:C149"/>
    <mergeCell ref="B150:C150"/>
    <mergeCell ref="A151:C151"/>
    <mergeCell ref="B152:C152"/>
    <mergeCell ref="A153:C153"/>
  </mergeCells>
  <printOptions horizontalCentered="1"/>
  <pageMargins left="0.51180555555555596" right="0.51180555555555596" top="1.1027777777777801" bottom="0.78749999999999998" header="0.78749999999999998" footer="0.511811023622047"/>
  <pageSetup paperSize="9" scale="79" fitToHeight="0" orientation="portrait" horizontalDpi="300" verticalDpi="300" r:id="rId1"/>
  <headerFooter>
    <oddHeader>&amp;C&amp;"Times New Roman,Normal"&amp;12&amp;F - &amp;A - Pág. &amp;P/&amp;N</oddHead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154"/>
  <sheetViews>
    <sheetView showGridLines="0" topLeftCell="A59" zoomScaleNormal="100" workbookViewId="0">
      <selection activeCell="B64" sqref="B64"/>
    </sheetView>
  </sheetViews>
  <sheetFormatPr defaultColWidth="9.140625" defaultRowHeight="15.75" x14ac:dyDescent="0.25"/>
  <cols>
    <col min="1" max="1" width="9.140625" style="30"/>
    <col min="2" max="2" width="73.42578125" style="30" customWidth="1"/>
    <col min="3" max="4" width="16.85546875" style="30" customWidth="1"/>
    <col min="5" max="5" width="12.7109375" style="30" customWidth="1"/>
    <col min="6" max="6" width="12" style="30" customWidth="1"/>
    <col min="7" max="7" width="15.140625" style="30" customWidth="1"/>
    <col min="8" max="1024" width="9.140625" style="30"/>
  </cols>
  <sheetData>
    <row r="1" spans="1:6" x14ac:dyDescent="0.25">
      <c r="A1" s="160" t="s">
        <v>0</v>
      </c>
      <c r="B1" s="160"/>
      <c r="C1" s="160"/>
      <c r="D1" s="160"/>
    </row>
    <row r="2" spans="1:6" x14ac:dyDescent="0.25">
      <c r="A2" s="160" t="s">
        <v>1</v>
      </c>
      <c r="B2" s="160"/>
      <c r="C2" s="160"/>
      <c r="D2" s="160"/>
    </row>
    <row r="3" spans="1:6" x14ac:dyDescent="0.25">
      <c r="A3" s="177" t="s">
        <v>2</v>
      </c>
      <c r="B3" s="177"/>
      <c r="C3" s="177"/>
      <c r="D3" s="177"/>
    </row>
    <row r="4" spans="1:6" x14ac:dyDescent="0.25">
      <c r="A4" s="31"/>
      <c r="B4" s="31"/>
      <c r="C4" s="31"/>
      <c r="D4" s="31"/>
    </row>
    <row r="5" spans="1:6" ht="24.75" customHeight="1" x14ac:dyDescent="0.25">
      <c r="A5" s="178" t="s">
        <v>3</v>
      </c>
      <c r="B5" s="178"/>
      <c r="C5" s="178"/>
      <c r="D5" s="178"/>
    </row>
    <row r="6" spans="1:6" x14ac:dyDescent="0.25">
      <c r="A6" s="31"/>
      <c r="B6" s="31"/>
      <c r="C6" s="31"/>
      <c r="D6" s="31"/>
    </row>
    <row r="7" spans="1:6" ht="15.75" customHeight="1" x14ac:dyDescent="0.25">
      <c r="A7" s="32" t="s">
        <v>23</v>
      </c>
      <c r="B7" s="33" t="s">
        <v>24</v>
      </c>
      <c r="C7" s="175"/>
      <c r="D7" s="175"/>
    </row>
    <row r="8" spans="1:6" x14ac:dyDescent="0.25">
      <c r="A8" s="32" t="s">
        <v>25</v>
      </c>
      <c r="B8" s="33" t="s">
        <v>26</v>
      </c>
      <c r="C8" s="175"/>
      <c r="D8" s="175"/>
    </row>
    <row r="9" spans="1:6" x14ac:dyDescent="0.25">
      <c r="A9" s="32" t="s">
        <v>27</v>
      </c>
      <c r="B9" s="33" t="s">
        <v>28</v>
      </c>
      <c r="C9" s="175"/>
      <c r="D9" s="175"/>
    </row>
    <row r="10" spans="1:6" x14ac:dyDescent="0.25">
      <c r="A10" s="32" t="s">
        <v>29</v>
      </c>
      <c r="B10" s="33" t="s">
        <v>30</v>
      </c>
      <c r="C10" s="175"/>
      <c r="D10" s="175"/>
    </row>
    <row r="11" spans="1:6" x14ac:dyDescent="0.25">
      <c r="A11" s="34"/>
      <c r="B11" s="35"/>
      <c r="C11" s="34"/>
      <c r="D11" s="34"/>
      <c r="E11" s="34"/>
      <c r="F11" s="34"/>
    </row>
    <row r="12" spans="1:6" ht="15.75" customHeight="1" x14ac:dyDescent="0.25">
      <c r="A12" s="34"/>
      <c r="B12" s="33" t="s">
        <v>31</v>
      </c>
      <c r="C12" s="175" t="s">
        <v>128</v>
      </c>
      <c r="D12" s="175"/>
      <c r="E12" s="34"/>
      <c r="F12" s="34"/>
    </row>
    <row r="13" spans="1:6" ht="15.75" customHeight="1" x14ac:dyDescent="0.25">
      <c r="A13" s="34"/>
      <c r="B13" s="33" t="s">
        <v>33</v>
      </c>
      <c r="C13" s="176" t="s">
        <v>129</v>
      </c>
      <c r="D13" s="176"/>
      <c r="E13" s="34"/>
      <c r="F13" s="34"/>
    </row>
    <row r="14" spans="1:6" x14ac:dyDescent="0.25">
      <c r="A14" s="34"/>
      <c r="B14" s="33" t="s">
        <v>130</v>
      </c>
      <c r="C14" s="172">
        <f>10.51*220</f>
        <v>2312.1999999999998</v>
      </c>
      <c r="D14" s="172"/>
      <c r="E14" s="34"/>
      <c r="F14" s="34"/>
    </row>
    <row r="15" spans="1:6" ht="15.75" customHeight="1" x14ac:dyDescent="0.25">
      <c r="A15" s="34"/>
      <c r="B15" s="33" t="s">
        <v>36</v>
      </c>
      <c r="C15" s="173" t="s">
        <v>263</v>
      </c>
      <c r="D15" s="173"/>
      <c r="E15" s="34"/>
      <c r="F15" s="34"/>
    </row>
    <row r="16" spans="1:6" x14ac:dyDescent="0.25">
      <c r="A16" s="34"/>
      <c r="B16" s="33" t="s">
        <v>38</v>
      </c>
      <c r="C16" s="174">
        <v>44713</v>
      </c>
      <c r="D16" s="174"/>
      <c r="E16" s="34"/>
      <c r="F16" s="34"/>
    </row>
    <row r="17" spans="1:6" ht="15.75" customHeight="1" x14ac:dyDescent="0.25">
      <c r="A17" s="34"/>
      <c r="B17" s="33" t="s">
        <v>39</v>
      </c>
      <c r="C17" s="175" t="s">
        <v>15</v>
      </c>
      <c r="D17" s="175"/>
      <c r="E17" s="34"/>
      <c r="F17" s="34"/>
    </row>
    <row r="18" spans="1:6" x14ac:dyDescent="0.25">
      <c r="A18" s="34"/>
      <c r="B18" s="33" t="s">
        <v>40</v>
      </c>
      <c r="C18" s="175">
        <v>1</v>
      </c>
      <c r="D18" s="175"/>
      <c r="E18" s="34"/>
      <c r="F18" s="34"/>
    </row>
    <row r="20" spans="1:6" x14ac:dyDescent="0.25">
      <c r="A20" s="165" t="s">
        <v>41</v>
      </c>
      <c r="B20" s="165"/>
      <c r="C20" s="165"/>
      <c r="D20" s="165"/>
    </row>
    <row r="22" spans="1:6" ht="15.75" customHeight="1" x14ac:dyDescent="0.25">
      <c r="A22" s="36">
        <v>1</v>
      </c>
      <c r="B22" s="164" t="s">
        <v>42</v>
      </c>
      <c r="C22" s="164"/>
      <c r="D22" s="36" t="s">
        <v>43</v>
      </c>
    </row>
    <row r="23" spans="1:6" ht="15.75" customHeight="1" x14ac:dyDescent="0.25">
      <c r="A23" s="37" t="s">
        <v>23</v>
      </c>
      <c r="B23" s="163" t="s">
        <v>44</v>
      </c>
      <c r="C23" s="163"/>
      <c r="D23" s="39">
        <f>C14</f>
        <v>2312.1999999999998</v>
      </c>
    </row>
    <row r="24" spans="1:6" ht="15.75" customHeight="1" x14ac:dyDescent="0.25">
      <c r="A24" s="37" t="s">
        <v>25</v>
      </c>
      <c r="B24" s="163" t="s">
        <v>45</v>
      </c>
      <c r="C24" s="163"/>
      <c r="D24" s="39">
        <v>0</v>
      </c>
    </row>
    <row r="25" spans="1:6" ht="15.75" customHeight="1" x14ac:dyDescent="0.25">
      <c r="A25" s="37" t="s">
        <v>27</v>
      </c>
      <c r="B25" s="163" t="s">
        <v>46</v>
      </c>
      <c r="C25" s="163"/>
      <c r="D25" s="39">
        <v>0</v>
      </c>
    </row>
    <row r="26" spans="1:6" ht="15.75" customHeight="1" x14ac:dyDescent="0.25">
      <c r="A26" s="37" t="s">
        <v>29</v>
      </c>
      <c r="B26" s="163" t="s">
        <v>47</v>
      </c>
      <c r="C26" s="163"/>
      <c r="D26" s="39">
        <v>0</v>
      </c>
    </row>
    <row r="27" spans="1:6" ht="15.75" customHeight="1" x14ac:dyDescent="0.25">
      <c r="A27" s="37" t="s">
        <v>48</v>
      </c>
      <c r="B27" s="163" t="s">
        <v>49</v>
      </c>
      <c r="C27" s="163"/>
      <c r="D27" s="39">
        <v>0</v>
      </c>
    </row>
    <row r="28" spans="1:6" ht="15.75" customHeight="1" x14ac:dyDescent="0.25">
      <c r="A28" s="37" t="s">
        <v>50</v>
      </c>
      <c r="B28" s="163" t="s">
        <v>51</v>
      </c>
      <c r="C28" s="163"/>
      <c r="D28" s="39">
        <v>0</v>
      </c>
    </row>
    <row r="29" spans="1:6" ht="15.75" customHeight="1" x14ac:dyDescent="0.25">
      <c r="A29" s="164" t="s">
        <v>52</v>
      </c>
      <c r="B29" s="164"/>
      <c r="C29" s="164"/>
      <c r="D29" s="40">
        <f>SUM(D23:D28)</f>
        <v>2312.1999999999998</v>
      </c>
      <c r="E29" s="41"/>
    </row>
    <row r="32" spans="1:6" x14ac:dyDescent="0.25">
      <c r="A32" s="165" t="s">
        <v>53</v>
      </c>
      <c r="B32" s="165"/>
      <c r="C32" s="165"/>
      <c r="D32" s="165"/>
    </row>
    <row r="33" spans="1:6" x14ac:dyDescent="0.25">
      <c r="A33" s="42"/>
    </row>
    <row r="34" spans="1:6" x14ac:dyDescent="0.25">
      <c r="A34" s="166" t="s">
        <v>54</v>
      </c>
      <c r="B34" s="166"/>
      <c r="C34" s="166"/>
      <c r="D34" s="166"/>
    </row>
    <row r="36" spans="1:6" ht="15.75" customHeight="1" x14ac:dyDescent="0.25">
      <c r="A36" s="36" t="s">
        <v>55</v>
      </c>
      <c r="B36" s="164" t="s">
        <v>56</v>
      </c>
      <c r="C36" s="164"/>
      <c r="D36" s="36" t="s">
        <v>43</v>
      </c>
    </row>
    <row r="37" spans="1:6" ht="15.75" customHeight="1" x14ac:dyDescent="0.25">
      <c r="A37" s="37" t="s">
        <v>23</v>
      </c>
      <c r="B37" s="163" t="s">
        <v>57</v>
      </c>
      <c r="C37" s="163"/>
      <c r="D37" s="39">
        <f>D29/12</f>
        <v>192.68333333333331</v>
      </c>
    </row>
    <row r="38" spans="1:6" ht="15.75" customHeight="1" x14ac:dyDescent="0.25">
      <c r="A38" s="149" t="s">
        <v>25</v>
      </c>
      <c r="B38" s="171" t="s">
        <v>261</v>
      </c>
      <c r="C38" s="171"/>
      <c r="D38" s="150">
        <f>((D29/3)/12)</f>
        <v>64.227777777777774</v>
      </c>
    </row>
    <row r="39" spans="1:6" ht="15.75" customHeight="1" x14ac:dyDescent="0.25">
      <c r="A39" s="164" t="s">
        <v>52</v>
      </c>
      <c r="B39" s="164"/>
      <c r="C39" s="164"/>
      <c r="D39" s="40">
        <f>SUM(D37:D38)</f>
        <v>256.9111111111111</v>
      </c>
      <c r="F39" s="43"/>
    </row>
    <row r="40" spans="1:6" ht="15.75" customHeight="1" x14ac:dyDescent="0.25">
      <c r="A40" s="44"/>
      <c r="B40" s="44"/>
      <c r="C40" s="44"/>
      <c r="D40" s="45"/>
      <c r="F40" s="43"/>
    </row>
    <row r="41" spans="1:6" ht="15.75" customHeight="1" x14ac:dyDescent="0.25">
      <c r="F41" s="43"/>
    </row>
    <row r="42" spans="1:6" x14ac:dyDescent="0.25">
      <c r="A42" s="168" t="s">
        <v>58</v>
      </c>
      <c r="B42" s="168"/>
      <c r="C42" s="168"/>
      <c r="D42" s="40">
        <f>D29+D39</f>
        <v>2569.1111111111109</v>
      </c>
    </row>
    <row r="44" spans="1:6" ht="15.75" customHeight="1" x14ac:dyDescent="0.25">
      <c r="A44" s="169" t="s">
        <v>59</v>
      </c>
      <c r="B44" s="169"/>
      <c r="C44" s="169"/>
      <c r="D44" s="169"/>
    </row>
    <row r="46" spans="1:6" x14ac:dyDescent="0.25">
      <c r="A46" s="36" t="s">
        <v>60</v>
      </c>
      <c r="B46" s="36" t="s">
        <v>61</v>
      </c>
      <c r="C46" s="36" t="s">
        <v>62</v>
      </c>
      <c r="D46" s="36" t="s">
        <v>43</v>
      </c>
    </row>
    <row r="47" spans="1:6" x14ac:dyDescent="0.25">
      <c r="A47" s="37" t="s">
        <v>23</v>
      </c>
      <c r="B47" s="46" t="s">
        <v>63</v>
      </c>
      <c r="C47" s="63">
        <v>0.2</v>
      </c>
      <c r="D47" s="48">
        <f>C47*D42</f>
        <v>513.82222222222219</v>
      </c>
    </row>
    <row r="48" spans="1:6" x14ac:dyDescent="0.25">
      <c r="A48" s="37" t="s">
        <v>25</v>
      </c>
      <c r="B48" s="46" t="s">
        <v>64</v>
      </c>
      <c r="C48" s="63">
        <v>2.5000000000000001E-2</v>
      </c>
      <c r="D48" s="48">
        <f>C48*D42</f>
        <v>64.227777777777774</v>
      </c>
    </row>
    <row r="49" spans="1:4" x14ac:dyDescent="0.25">
      <c r="A49" s="37" t="s">
        <v>27</v>
      </c>
      <c r="B49" s="46" t="s">
        <v>65</v>
      </c>
      <c r="C49" s="63">
        <f>3%*2</f>
        <v>0.06</v>
      </c>
      <c r="D49" s="48">
        <f>C49*D42</f>
        <v>154.14666666666665</v>
      </c>
    </row>
    <row r="50" spans="1:4" x14ac:dyDescent="0.25">
      <c r="A50" s="37" t="s">
        <v>29</v>
      </c>
      <c r="B50" s="46" t="s">
        <v>66</v>
      </c>
      <c r="C50" s="63">
        <v>1.4999999999999999E-2</v>
      </c>
      <c r="D50" s="48">
        <f>C50*D42</f>
        <v>38.536666666666662</v>
      </c>
    </row>
    <row r="51" spans="1:4" x14ac:dyDescent="0.25">
      <c r="A51" s="37" t="s">
        <v>48</v>
      </c>
      <c r="B51" s="46" t="s">
        <v>67</v>
      </c>
      <c r="C51" s="63">
        <v>0.01</v>
      </c>
      <c r="D51" s="48">
        <f>C51*D42</f>
        <v>25.691111111111109</v>
      </c>
    </row>
    <row r="52" spans="1:4" x14ac:dyDescent="0.25">
      <c r="A52" s="37" t="s">
        <v>50</v>
      </c>
      <c r="B52" s="46" t="s">
        <v>68</v>
      </c>
      <c r="C52" s="63">
        <v>6.0000000000000001E-3</v>
      </c>
      <c r="D52" s="48">
        <f>C52*D42</f>
        <v>15.414666666666665</v>
      </c>
    </row>
    <row r="53" spans="1:4" x14ac:dyDescent="0.25">
      <c r="A53" s="37" t="s">
        <v>69</v>
      </c>
      <c r="B53" s="46" t="s">
        <v>70</v>
      </c>
      <c r="C53" s="63">
        <v>2E-3</v>
      </c>
      <c r="D53" s="48">
        <f>C53*D42</f>
        <v>5.1382222222222218</v>
      </c>
    </row>
    <row r="54" spans="1:4" x14ac:dyDescent="0.25">
      <c r="A54" s="37" t="s">
        <v>71</v>
      </c>
      <c r="B54" s="46" t="s">
        <v>72</v>
      </c>
      <c r="C54" s="63">
        <v>0.08</v>
      </c>
      <c r="D54" s="48">
        <f>C54*D42</f>
        <v>205.52888888888887</v>
      </c>
    </row>
    <row r="55" spans="1:4" ht="15.75" customHeight="1" x14ac:dyDescent="0.25">
      <c r="A55" s="164" t="s">
        <v>73</v>
      </c>
      <c r="B55" s="164"/>
      <c r="C55" s="49">
        <f>SUM(C47:C54)</f>
        <v>0.39800000000000008</v>
      </c>
      <c r="D55" s="50">
        <f>SUM(D47:D54)</f>
        <v>1022.5062222222222</v>
      </c>
    </row>
    <row r="58" spans="1:4" x14ac:dyDescent="0.25">
      <c r="A58" s="166" t="s">
        <v>74</v>
      </c>
      <c r="B58" s="166"/>
      <c r="C58" s="166"/>
      <c r="D58" s="166"/>
    </row>
    <row r="60" spans="1:4" x14ac:dyDescent="0.25">
      <c r="A60" s="36" t="s">
        <v>75</v>
      </c>
      <c r="B60" s="51" t="s">
        <v>76</v>
      </c>
      <c r="C60" s="36" t="s">
        <v>43</v>
      </c>
      <c r="D60" s="36" t="s">
        <v>43</v>
      </c>
    </row>
    <row r="61" spans="1:4" x14ac:dyDescent="0.25">
      <c r="A61" s="37" t="s">
        <v>23</v>
      </c>
      <c r="B61" s="38" t="s">
        <v>77</v>
      </c>
      <c r="C61" s="52">
        <v>4</v>
      </c>
      <c r="D61" s="48">
        <f>IF(((C61*44)-(D23*6%))&gt;0,((C61*44)-(D23*6%)),0)</f>
        <v>37.268000000000029</v>
      </c>
    </row>
    <row r="62" spans="1:4" x14ac:dyDescent="0.25">
      <c r="A62" s="37" t="s">
        <v>25</v>
      </c>
      <c r="B62" s="46" t="s">
        <v>141</v>
      </c>
      <c r="C62" s="53">
        <v>600</v>
      </c>
      <c r="D62" s="48">
        <f>C62</f>
        <v>600</v>
      </c>
    </row>
    <row r="63" spans="1:4" ht="15.75" customHeight="1" x14ac:dyDescent="0.25">
      <c r="A63" s="37" t="s">
        <v>27</v>
      </c>
      <c r="B63" s="46" t="s">
        <v>142</v>
      </c>
      <c r="C63" s="53">
        <f>C62/12</f>
        <v>50</v>
      </c>
      <c r="D63" s="48">
        <f>C63</f>
        <v>50</v>
      </c>
    </row>
    <row r="64" spans="1:4" ht="15.75" customHeight="1" x14ac:dyDescent="0.25">
      <c r="A64" s="37" t="s">
        <v>29</v>
      </c>
      <c r="B64" s="46" t="s">
        <v>143</v>
      </c>
      <c r="C64" s="53">
        <v>100</v>
      </c>
      <c r="D64" s="48">
        <f>C64</f>
        <v>100</v>
      </c>
    </row>
    <row r="65" spans="1:4" ht="15.75" customHeight="1" x14ac:dyDescent="0.25">
      <c r="A65" s="37" t="s">
        <v>48</v>
      </c>
      <c r="B65" s="46" t="s">
        <v>135</v>
      </c>
      <c r="C65" s="53">
        <v>4.88</v>
      </c>
      <c r="D65" s="48">
        <f>C65*22</f>
        <v>107.36</v>
      </c>
    </row>
    <row r="66" spans="1:4" ht="15.75" customHeight="1" x14ac:dyDescent="0.25">
      <c r="A66" s="37" t="s">
        <v>50</v>
      </c>
      <c r="B66" s="46" t="s">
        <v>80</v>
      </c>
      <c r="C66" s="53">
        <v>48</v>
      </c>
      <c r="D66" s="48">
        <f>C66</f>
        <v>48</v>
      </c>
    </row>
    <row r="67" spans="1:4" ht="15.75" customHeight="1" x14ac:dyDescent="0.25">
      <c r="A67" s="37" t="s">
        <v>69</v>
      </c>
      <c r="B67" s="46" t="s">
        <v>136</v>
      </c>
      <c r="C67" s="75">
        <v>50000</v>
      </c>
      <c r="D67" s="48">
        <f>C67*0.012%</f>
        <v>6</v>
      </c>
    </row>
    <row r="68" spans="1:4" ht="15.75" customHeight="1" x14ac:dyDescent="0.25">
      <c r="A68" s="164" t="s">
        <v>52</v>
      </c>
      <c r="B68" s="164"/>
      <c r="C68" s="164"/>
      <c r="D68" s="54">
        <f>SUM(D61:D67)</f>
        <v>948.62800000000004</v>
      </c>
    </row>
    <row r="71" spans="1:4" x14ac:dyDescent="0.25">
      <c r="A71" s="166" t="s">
        <v>83</v>
      </c>
      <c r="B71" s="166"/>
      <c r="C71" s="166"/>
      <c r="D71" s="166"/>
    </row>
    <row r="73" spans="1:4" ht="15.75" customHeight="1" x14ac:dyDescent="0.25">
      <c r="A73" s="36">
        <v>2</v>
      </c>
      <c r="B73" s="164" t="s">
        <v>84</v>
      </c>
      <c r="C73" s="164"/>
      <c r="D73" s="36" t="s">
        <v>43</v>
      </c>
    </row>
    <row r="74" spans="1:4" ht="15.75" customHeight="1" x14ac:dyDescent="0.25">
      <c r="A74" s="37" t="s">
        <v>55</v>
      </c>
      <c r="B74" s="163" t="s">
        <v>262</v>
      </c>
      <c r="C74" s="163"/>
      <c r="D74" s="48">
        <f>D39</f>
        <v>256.9111111111111</v>
      </c>
    </row>
    <row r="75" spans="1:4" ht="15.75" customHeight="1" x14ac:dyDescent="0.25">
      <c r="A75" s="37" t="s">
        <v>60</v>
      </c>
      <c r="B75" s="163" t="s">
        <v>61</v>
      </c>
      <c r="C75" s="163"/>
      <c r="D75" s="48">
        <f>D55</f>
        <v>1022.5062222222222</v>
      </c>
    </row>
    <row r="76" spans="1:4" ht="15.75" customHeight="1" x14ac:dyDescent="0.25">
      <c r="A76" s="37" t="s">
        <v>75</v>
      </c>
      <c r="B76" s="163" t="s">
        <v>76</v>
      </c>
      <c r="C76" s="163"/>
      <c r="D76" s="48">
        <f>D68</f>
        <v>948.62800000000004</v>
      </c>
    </row>
    <row r="77" spans="1:4" ht="15.75" customHeight="1" x14ac:dyDescent="0.25">
      <c r="A77" s="164" t="s">
        <v>52</v>
      </c>
      <c r="B77" s="164"/>
      <c r="C77" s="164"/>
      <c r="D77" s="54">
        <f>SUM(D74:D76)</f>
        <v>2228.0453333333335</v>
      </c>
    </row>
    <row r="78" spans="1:4" x14ac:dyDescent="0.25">
      <c r="A78" s="55"/>
    </row>
    <row r="80" spans="1:4" x14ac:dyDescent="0.25">
      <c r="A80" s="165" t="s">
        <v>85</v>
      </c>
      <c r="B80" s="165"/>
      <c r="C80" s="165"/>
      <c r="D80" s="165"/>
    </row>
    <row r="82" spans="1:6" x14ac:dyDescent="0.25">
      <c r="A82" s="36">
        <v>3</v>
      </c>
      <c r="B82" s="56" t="s">
        <v>86</v>
      </c>
      <c r="C82" s="36" t="s">
        <v>62</v>
      </c>
      <c r="D82" s="36" t="s">
        <v>43</v>
      </c>
    </row>
    <row r="83" spans="1:6" x14ac:dyDescent="0.25">
      <c r="A83" s="37" t="s">
        <v>23</v>
      </c>
      <c r="B83" s="57" t="s">
        <v>87</v>
      </c>
      <c r="C83" s="47">
        <f>0.05*(1/12)</f>
        <v>4.1666666666666666E-3</v>
      </c>
      <c r="D83" s="48">
        <f>C83*D29</f>
        <v>9.6341666666666654</v>
      </c>
    </row>
    <row r="84" spans="1:6" x14ac:dyDescent="0.25">
      <c r="A84" s="37" t="s">
        <v>25</v>
      </c>
      <c r="B84" s="57" t="s">
        <v>88</v>
      </c>
      <c r="C84" s="47">
        <f>C83*C54</f>
        <v>3.3333333333333332E-4</v>
      </c>
      <c r="D84" s="48">
        <f>C84*D29</f>
        <v>0.77073333333333327</v>
      </c>
    </row>
    <row r="85" spans="1:6" x14ac:dyDescent="0.25">
      <c r="A85" s="37" t="s">
        <v>27</v>
      </c>
      <c r="B85" s="57" t="s">
        <v>89</v>
      </c>
      <c r="C85" s="47">
        <f>0.08*0.4*0.9*(1+2/12+(1/3*1/12))</f>
        <v>3.44E-2</v>
      </c>
      <c r="D85" s="48">
        <f>C85*D29</f>
        <v>79.53967999999999</v>
      </c>
    </row>
    <row r="86" spans="1:6" x14ac:dyDescent="0.25">
      <c r="A86" s="37" t="s">
        <v>29</v>
      </c>
      <c r="B86" s="57" t="s">
        <v>90</v>
      </c>
      <c r="C86" s="58">
        <f>(7/30)/12</f>
        <v>1.9444444444444445E-2</v>
      </c>
      <c r="D86" s="48">
        <f>C86*D29</f>
        <v>44.959444444444443</v>
      </c>
    </row>
    <row r="87" spans="1:6" x14ac:dyDescent="0.25">
      <c r="A87" s="37" t="s">
        <v>48</v>
      </c>
      <c r="B87" s="57" t="s">
        <v>91</v>
      </c>
      <c r="C87" s="58">
        <f>C86*C55</f>
        <v>7.7388888888888906E-3</v>
      </c>
      <c r="D87" s="48">
        <f>C87*D29</f>
        <v>17.893858888888893</v>
      </c>
      <c r="F87" s="60"/>
    </row>
    <row r="88" spans="1:6" x14ac:dyDescent="0.25">
      <c r="A88" s="37" t="s">
        <v>50</v>
      </c>
      <c r="B88" s="57" t="s">
        <v>92</v>
      </c>
      <c r="C88" s="58">
        <f>C86*0.08*0.4</f>
        <v>6.2222222222222236E-4</v>
      </c>
      <c r="D88" s="48">
        <f>C88*D29</f>
        <v>1.4387022222222223</v>
      </c>
    </row>
    <row r="89" spans="1:6" ht="15.75" customHeight="1" x14ac:dyDescent="0.25">
      <c r="A89" s="167" t="s">
        <v>52</v>
      </c>
      <c r="B89" s="167"/>
      <c r="C89" s="49">
        <f>SUM(C83:C88)</f>
        <v>6.6705555555555546E-2</v>
      </c>
      <c r="D89" s="40">
        <f>SUM(D83:D88)</f>
        <v>154.23658555555554</v>
      </c>
    </row>
    <row r="92" spans="1:6" x14ac:dyDescent="0.25">
      <c r="A92" s="165" t="s">
        <v>93</v>
      </c>
      <c r="B92" s="165"/>
      <c r="C92" s="165"/>
      <c r="D92" s="165"/>
    </row>
    <row r="95" spans="1:6" x14ac:dyDescent="0.25">
      <c r="A95" s="166" t="s">
        <v>94</v>
      </c>
      <c r="B95" s="166"/>
      <c r="C95" s="166"/>
      <c r="D95" s="166"/>
    </row>
    <row r="96" spans="1:6" x14ac:dyDescent="0.25">
      <c r="A96" s="42"/>
    </row>
    <row r="97" spans="1:5" x14ac:dyDescent="0.25">
      <c r="A97" s="36" t="s">
        <v>95</v>
      </c>
      <c r="B97" s="61" t="s">
        <v>96</v>
      </c>
      <c r="C97" s="36" t="s">
        <v>62</v>
      </c>
      <c r="D97" s="36" t="s">
        <v>43</v>
      </c>
    </row>
    <row r="98" spans="1:5" x14ac:dyDescent="0.25">
      <c r="A98" s="37" t="s">
        <v>23</v>
      </c>
      <c r="B98" s="57" t="s">
        <v>97</v>
      </c>
      <c r="C98" s="47">
        <f>1/12</f>
        <v>8.3333333333333329E-2</v>
      </c>
      <c r="D98" s="48">
        <f>C98*D29</f>
        <v>192.68333333333331</v>
      </c>
    </row>
    <row r="99" spans="1:5" x14ac:dyDescent="0.25">
      <c r="A99" s="37" t="s">
        <v>25</v>
      </c>
      <c r="B99" s="57" t="s">
        <v>98</v>
      </c>
      <c r="C99" s="47">
        <f>1/30/12</f>
        <v>2.7777777777777779E-3</v>
      </c>
      <c r="D99" s="48">
        <f>C99*D29</f>
        <v>6.4227777777777773</v>
      </c>
    </row>
    <row r="100" spans="1:5" x14ac:dyDescent="0.25">
      <c r="A100" s="37" t="s">
        <v>27</v>
      </c>
      <c r="B100" s="57" t="s">
        <v>99</v>
      </c>
      <c r="C100" s="47">
        <f>(5/30/12)*0.015</f>
        <v>2.0833333333333332E-4</v>
      </c>
      <c r="D100" s="48">
        <f>C100*D29</f>
        <v>0.48170833333333324</v>
      </c>
      <c r="E100" s="60"/>
    </row>
    <row r="101" spans="1:5" x14ac:dyDescent="0.25">
      <c r="A101" s="37" t="s">
        <v>29</v>
      </c>
      <c r="B101" s="57" t="s">
        <v>100</v>
      </c>
      <c r="C101" s="47">
        <f>(1/12)*0.0178</f>
        <v>1.4833333333333332E-3</v>
      </c>
      <c r="D101" s="48">
        <f>C101*D29</f>
        <v>3.4297633333333328</v>
      </c>
    </row>
    <row r="102" spans="1:5" x14ac:dyDescent="0.25">
      <c r="A102" s="37" t="s">
        <v>48</v>
      </c>
      <c r="B102" s="57" t="s">
        <v>101</v>
      </c>
      <c r="C102" s="47">
        <f>11.11%*5.28%*50%</f>
        <v>2.9330399999999996E-3</v>
      </c>
      <c r="D102" s="48">
        <f>C102*D29</f>
        <v>6.781775087999999</v>
      </c>
    </row>
    <row r="103" spans="1:5" x14ac:dyDescent="0.25">
      <c r="A103" s="37" t="s">
        <v>50</v>
      </c>
      <c r="B103" s="57" t="s">
        <v>102</v>
      </c>
      <c r="C103" s="47">
        <f>5/30/12</f>
        <v>1.3888888888888888E-2</v>
      </c>
      <c r="D103" s="48">
        <f>C103*D29</f>
        <v>32.113888888888887</v>
      </c>
    </row>
    <row r="104" spans="1:5" ht="15.75" customHeight="1" x14ac:dyDescent="0.25">
      <c r="A104" s="164" t="s">
        <v>103</v>
      </c>
      <c r="B104" s="164"/>
      <c r="C104" s="49">
        <f>SUM(C98:C103)</f>
        <v>0.10462470666666668</v>
      </c>
      <c r="D104" s="54">
        <f>SUM(D98:D103)</f>
        <v>241.91324675466663</v>
      </c>
    </row>
    <row r="105" spans="1:5" x14ac:dyDescent="0.25">
      <c r="A105" s="26" t="s">
        <v>69</v>
      </c>
      <c r="B105" s="62" t="s">
        <v>104</v>
      </c>
      <c r="C105" s="63">
        <f>C104*C55</f>
        <v>4.1640633253333344E-2</v>
      </c>
      <c r="D105" s="64">
        <f>C105*D29</f>
        <v>96.281472208357343</v>
      </c>
    </row>
    <row r="106" spans="1:5" ht="15.75" customHeight="1" x14ac:dyDescent="0.25">
      <c r="A106" s="164" t="s">
        <v>73</v>
      </c>
      <c r="B106" s="164"/>
      <c r="C106" s="49">
        <f>SUM(C104:C105)</f>
        <v>0.14626533992000001</v>
      </c>
      <c r="D106" s="40">
        <f>SUM(D104:D105)</f>
        <v>338.194718963024</v>
      </c>
    </row>
    <row r="109" spans="1:5" x14ac:dyDescent="0.25">
      <c r="A109" s="166" t="s">
        <v>105</v>
      </c>
      <c r="B109" s="166"/>
      <c r="C109" s="166"/>
      <c r="D109" s="166"/>
    </row>
    <row r="110" spans="1:5" x14ac:dyDescent="0.25">
      <c r="A110" s="42"/>
    </row>
    <row r="111" spans="1:5" x14ac:dyDescent="0.25">
      <c r="A111" s="36" t="s">
        <v>106</v>
      </c>
      <c r="B111" s="61" t="s">
        <v>107</v>
      </c>
      <c r="C111" s="36" t="s">
        <v>62</v>
      </c>
      <c r="D111" s="36" t="s">
        <v>43</v>
      </c>
    </row>
    <row r="112" spans="1:5" x14ac:dyDescent="0.25">
      <c r="A112" s="37" t="s">
        <v>23</v>
      </c>
      <c r="B112" s="57" t="s">
        <v>108</v>
      </c>
      <c r="C112" s="47">
        <v>0</v>
      </c>
      <c r="D112" s="39">
        <f>C112*D29</f>
        <v>0</v>
      </c>
    </row>
    <row r="113" spans="1:4" ht="15.75" customHeight="1" x14ac:dyDescent="0.25">
      <c r="A113" s="167" t="s">
        <v>52</v>
      </c>
      <c r="B113" s="167"/>
      <c r="C113" s="49">
        <f>SUM(C112)</f>
        <v>0</v>
      </c>
      <c r="D113" s="40">
        <f>SUM(D112)</f>
        <v>0</v>
      </c>
    </row>
    <row r="116" spans="1:4" x14ac:dyDescent="0.25">
      <c r="A116" s="166" t="s">
        <v>109</v>
      </c>
      <c r="B116" s="166"/>
      <c r="C116" s="166"/>
      <c r="D116" s="166"/>
    </row>
    <row r="117" spans="1:4" x14ac:dyDescent="0.25">
      <c r="A117" s="42"/>
    </row>
    <row r="118" spans="1:4" ht="15.75" customHeight="1" x14ac:dyDescent="0.25">
      <c r="A118" s="36">
        <v>4</v>
      </c>
      <c r="B118" s="164" t="s">
        <v>110</v>
      </c>
      <c r="C118" s="164"/>
      <c r="D118" s="36" t="s">
        <v>43</v>
      </c>
    </row>
    <row r="119" spans="1:4" ht="15.75" customHeight="1" x14ac:dyDescent="0.25">
      <c r="A119" s="37" t="s">
        <v>95</v>
      </c>
      <c r="B119" s="163" t="s">
        <v>96</v>
      </c>
      <c r="C119" s="163"/>
      <c r="D119" s="39">
        <f>D106</f>
        <v>338.194718963024</v>
      </c>
    </row>
    <row r="120" spans="1:4" ht="15.75" customHeight="1" x14ac:dyDescent="0.25">
      <c r="A120" s="37" t="s">
        <v>106</v>
      </c>
      <c r="B120" s="163" t="s">
        <v>107</v>
      </c>
      <c r="C120" s="163"/>
      <c r="D120" s="39">
        <f>D113</f>
        <v>0</v>
      </c>
    </row>
    <row r="121" spans="1:4" ht="15.75" customHeight="1" x14ac:dyDescent="0.25">
      <c r="A121" s="164" t="s">
        <v>52</v>
      </c>
      <c r="B121" s="164"/>
      <c r="C121" s="164"/>
      <c r="D121" s="40">
        <f>SUM(D119:D120)</f>
        <v>338.194718963024</v>
      </c>
    </row>
    <row r="124" spans="1:4" x14ac:dyDescent="0.25">
      <c r="A124" s="165" t="s">
        <v>111</v>
      </c>
      <c r="B124" s="165"/>
      <c r="C124" s="165"/>
      <c r="D124" s="165"/>
    </row>
    <row r="126" spans="1:4" ht="15.75" customHeight="1" x14ac:dyDescent="0.25">
      <c r="A126" s="36">
        <v>5</v>
      </c>
      <c r="B126" s="164" t="s">
        <v>112</v>
      </c>
      <c r="C126" s="164"/>
      <c r="D126" s="36" t="s">
        <v>43</v>
      </c>
    </row>
    <row r="127" spans="1:4" ht="15.75" customHeight="1" x14ac:dyDescent="0.25">
      <c r="A127" s="37" t="s">
        <v>23</v>
      </c>
      <c r="B127" s="163" t="s">
        <v>113</v>
      </c>
      <c r="C127" s="163"/>
      <c r="D127" s="39">
        <f>Uniformes!H33</f>
        <v>93.009880952380954</v>
      </c>
    </row>
    <row r="128" spans="1:4" ht="15.75" customHeight="1" x14ac:dyDescent="0.25">
      <c r="A128" s="37" t="s">
        <v>25</v>
      </c>
      <c r="B128" s="163" t="s">
        <v>114</v>
      </c>
      <c r="C128" s="163"/>
      <c r="D128" s="65">
        <v>15</v>
      </c>
    </row>
    <row r="129" spans="1:6" ht="15.75" customHeight="1" x14ac:dyDescent="0.25">
      <c r="A129" s="164" t="s">
        <v>73</v>
      </c>
      <c r="B129" s="164"/>
      <c r="C129" s="164"/>
      <c r="D129" s="40">
        <f>SUM(D127:D128)</f>
        <v>108.00988095238095</v>
      </c>
    </row>
    <row r="132" spans="1:6" x14ac:dyDescent="0.25">
      <c r="A132" s="165" t="s">
        <v>115</v>
      </c>
      <c r="B132" s="165"/>
      <c r="C132" s="165"/>
      <c r="D132" s="165"/>
    </row>
    <row r="134" spans="1:6" x14ac:dyDescent="0.25">
      <c r="A134" s="36">
        <v>6</v>
      </c>
      <c r="B134" s="51" t="s">
        <v>116</v>
      </c>
      <c r="C134" s="36" t="s">
        <v>62</v>
      </c>
      <c r="D134" s="36" t="s">
        <v>43</v>
      </c>
    </row>
    <row r="135" spans="1:6" x14ac:dyDescent="0.25">
      <c r="A135" s="26" t="s">
        <v>23</v>
      </c>
      <c r="B135" s="66" t="s">
        <v>117</v>
      </c>
      <c r="C135" s="67">
        <v>0.06</v>
      </c>
      <c r="D135" s="68">
        <f>D152*C135</f>
        <v>308.44119112825757</v>
      </c>
      <c r="E135" s="69"/>
    </row>
    <row r="136" spans="1:6" x14ac:dyDescent="0.25">
      <c r="A136" s="37" t="s">
        <v>25</v>
      </c>
      <c r="B136" s="46" t="s">
        <v>118</v>
      </c>
      <c r="C136" s="70">
        <v>6.7900000000000002E-2</v>
      </c>
      <c r="D136" s="71">
        <f>C136*(D152+D135)</f>
        <v>369.99577150442019</v>
      </c>
    </row>
    <row r="137" spans="1:6" x14ac:dyDescent="0.25">
      <c r="A137" s="37" t="s">
        <v>27</v>
      </c>
      <c r="B137" s="46" t="s">
        <v>119</v>
      </c>
      <c r="C137" s="70">
        <f>SUM(C138:C140)</f>
        <v>8.6499999999999994E-2</v>
      </c>
      <c r="D137" s="71">
        <f>((D152+D135+D136)/(1-C137))*C137</f>
        <v>551.01716600361021</v>
      </c>
    </row>
    <row r="138" spans="1:6" x14ac:dyDescent="0.25">
      <c r="A138" s="37"/>
      <c r="B138" s="46" t="s">
        <v>120</v>
      </c>
      <c r="C138" s="72">
        <f>3.65%</f>
        <v>3.6499999999999998E-2</v>
      </c>
      <c r="D138" s="71">
        <f>((D152+D135+D136)/(1-C137))*C138</f>
        <v>232.5101336315812</v>
      </c>
    </row>
    <row r="139" spans="1:6" x14ac:dyDescent="0.25">
      <c r="A139" s="37"/>
      <c r="B139" s="46" t="s">
        <v>121</v>
      </c>
      <c r="C139" s="70">
        <v>0</v>
      </c>
      <c r="D139" s="71">
        <f>((D152+D135+D136)/(1-C137))*C139</f>
        <v>0</v>
      </c>
      <c r="F139" s="73"/>
    </row>
    <row r="140" spans="1:6" x14ac:dyDescent="0.25">
      <c r="A140" s="37"/>
      <c r="B140" s="46" t="s">
        <v>122</v>
      </c>
      <c r="C140" s="70">
        <v>0.05</v>
      </c>
      <c r="D140" s="71">
        <f>((D152+D135+D136)/(1-C137))*C140</f>
        <v>318.50703237202907</v>
      </c>
    </row>
    <row r="141" spans="1:6" ht="15.75" customHeight="1" x14ac:dyDescent="0.25">
      <c r="A141" s="164" t="s">
        <v>73</v>
      </c>
      <c r="B141" s="164"/>
      <c r="C141" s="49">
        <f>SUM(C135:C137)</f>
        <v>0.21440000000000001</v>
      </c>
      <c r="D141" s="74">
        <f>SUM(D135:D137)</f>
        <v>1229.4541286362878</v>
      </c>
    </row>
    <row r="144" spans="1:6" x14ac:dyDescent="0.25">
      <c r="A144" s="165" t="s">
        <v>123</v>
      </c>
      <c r="B144" s="165"/>
      <c r="C144" s="165"/>
      <c r="D144" s="165"/>
    </row>
    <row r="146" spans="1:4" ht="15.75" customHeight="1" x14ac:dyDescent="0.25">
      <c r="A146" s="36"/>
      <c r="B146" s="164" t="s">
        <v>124</v>
      </c>
      <c r="C146" s="164"/>
      <c r="D146" s="36" t="s">
        <v>43</v>
      </c>
    </row>
    <row r="147" spans="1:4" ht="15.75" customHeight="1" x14ac:dyDescent="0.25">
      <c r="A147" s="36" t="s">
        <v>23</v>
      </c>
      <c r="B147" s="163" t="s">
        <v>41</v>
      </c>
      <c r="C147" s="163"/>
      <c r="D147" s="39">
        <f>D29</f>
        <v>2312.1999999999998</v>
      </c>
    </row>
    <row r="148" spans="1:4" ht="15.75" customHeight="1" x14ac:dyDescent="0.25">
      <c r="A148" s="36" t="s">
        <v>25</v>
      </c>
      <c r="B148" s="163" t="s">
        <v>53</v>
      </c>
      <c r="C148" s="163"/>
      <c r="D148" s="39">
        <f>D77</f>
        <v>2228.0453333333335</v>
      </c>
    </row>
    <row r="149" spans="1:4" ht="15.75" customHeight="1" x14ac:dyDescent="0.25">
      <c r="A149" s="36" t="s">
        <v>27</v>
      </c>
      <c r="B149" s="163" t="s">
        <v>85</v>
      </c>
      <c r="C149" s="163"/>
      <c r="D149" s="39">
        <f>D89</f>
        <v>154.23658555555554</v>
      </c>
    </row>
    <row r="150" spans="1:4" ht="15.75" customHeight="1" x14ac:dyDescent="0.25">
      <c r="A150" s="36" t="s">
        <v>29</v>
      </c>
      <c r="B150" s="163" t="s">
        <v>93</v>
      </c>
      <c r="C150" s="163"/>
      <c r="D150" s="39">
        <f>D121</f>
        <v>338.194718963024</v>
      </c>
    </row>
    <row r="151" spans="1:4" ht="15.75" customHeight="1" x14ac:dyDescent="0.25">
      <c r="A151" s="36" t="s">
        <v>48</v>
      </c>
      <c r="B151" s="163" t="s">
        <v>111</v>
      </c>
      <c r="C151" s="163"/>
      <c r="D151" s="39">
        <f>D129</f>
        <v>108.00988095238095</v>
      </c>
    </row>
    <row r="152" spans="1:4" ht="15.75" customHeight="1" x14ac:dyDescent="0.25">
      <c r="A152" s="164" t="s">
        <v>125</v>
      </c>
      <c r="B152" s="164"/>
      <c r="C152" s="164"/>
      <c r="D152" s="40">
        <f>SUM(D147:D151)</f>
        <v>5140.686518804293</v>
      </c>
    </row>
    <row r="153" spans="1:4" ht="15.75" customHeight="1" x14ac:dyDescent="0.25">
      <c r="A153" s="36" t="s">
        <v>50</v>
      </c>
      <c r="B153" s="163" t="s">
        <v>126</v>
      </c>
      <c r="C153" s="163"/>
      <c r="D153" s="39">
        <f>D141</f>
        <v>1229.4541286362878</v>
      </c>
    </row>
    <row r="154" spans="1:4" ht="15.75" customHeight="1" x14ac:dyDescent="0.25">
      <c r="A154" s="164" t="s">
        <v>127</v>
      </c>
      <c r="B154" s="164"/>
      <c r="C154" s="164"/>
      <c r="D154" s="40">
        <f>TRUNC(SUM(D152:D153),2)</f>
        <v>6370.14</v>
      </c>
    </row>
  </sheetData>
  <mergeCells count="71">
    <mergeCell ref="A1:D1"/>
    <mergeCell ref="A2:D2"/>
    <mergeCell ref="A3:D3"/>
    <mergeCell ref="A5:D5"/>
    <mergeCell ref="C7:D7"/>
    <mergeCell ref="C8:D8"/>
    <mergeCell ref="C9:D9"/>
    <mergeCell ref="C10:D10"/>
    <mergeCell ref="C12:D12"/>
    <mergeCell ref="C13:D13"/>
    <mergeCell ref="C14:D14"/>
    <mergeCell ref="C15:D15"/>
    <mergeCell ref="C16:D16"/>
    <mergeCell ref="C17:D17"/>
    <mergeCell ref="C18:D18"/>
    <mergeCell ref="A20:D20"/>
    <mergeCell ref="B22:C22"/>
    <mergeCell ref="B23:C23"/>
    <mergeCell ref="B24:C24"/>
    <mergeCell ref="B25:C25"/>
    <mergeCell ref="B26:C26"/>
    <mergeCell ref="B27:C27"/>
    <mergeCell ref="B28:C28"/>
    <mergeCell ref="A29:C29"/>
    <mergeCell ref="A32:D32"/>
    <mergeCell ref="A34:D34"/>
    <mergeCell ref="B36:C36"/>
    <mergeCell ref="B37:C37"/>
    <mergeCell ref="B38:C38"/>
    <mergeCell ref="A39:C39"/>
    <mergeCell ref="A42:C42"/>
    <mergeCell ref="A44:D44"/>
    <mergeCell ref="A55:B55"/>
    <mergeCell ref="A58:D58"/>
    <mergeCell ref="A68:C68"/>
    <mergeCell ref="A71:D71"/>
    <mergeCell ref="B73:C73"/>
    <mergeCell ref="B74:C74"/>
    <mergeCell ref="B75:C75"/>
    <mergeCell ref="B76:C76"/>
    <mergeCell ref="A77:C77"/>
    <mergeCell ref="A80:D80"/>
    <mergeCell ref="A89:B89"/>
    <mergeCell ref="A92:D92"/>
    <mergeCell ref="A95:D95"/>
    <mergeCell ref="A104:B104"/>
    <mergeCell ref="A106:B106"/>
    <mergeCell ref="A109:D109"/>
    <mergeCell ref="A113:B113"/>
    <mergeCell ref="A116:D116"/>
    <mergeCell ref="B118:C118"/>
    <mergeCell ref="B119:C119"/>
    <mergeCell ref="B120:C120"/>
    <mergeCell ref="A121:C121"/>
    <mergeCell ref="A124:D124"/>
    <mergeCell ref="B126:C126"/>
    <mergeCell ref="B127:C127"/>
    <mergeCell ref="B128:C128"/>
    <mergeCell ref="A129:C129"/>
    <mergeCell ref="A132:D132"/>
    <mergeCell ref="A141:B141"/>
    <mergeCell ref="A144:D144"/>
    <mergeCell ref="B146:C146"/>
    <mergeCell ref="B147:C147"/>
    <mergeCell ref="B148:C148"/>
    <mergeCell ref="A154:C154"/>
    <mergeCell ref="B149:C149"/>
    <mergeCell ref="B150:C150"/>
    <mergeCell ref="B151:C151"/>
    <mergeCell ref="A152:C152"/>
    <mergeCell ref="B153:C153"/>
  </mergeCells>
  <printOptions horizontalCentered="1"/>
  <pageMargins left="0.51180555555555596" right="0.51180555555555596" top="1.1027777777777801" bottom="0.78749999999999998" header="0.78749999999999998" footer="0.511811023622047"/>
  <pageSetup paperSize="9" scale="79" fitToHeight="0" orientation="portrait" horizontalDpi="300" verticalDpi="300" r:id="rId1"/>
  <headerFooter>
    <oddHeader>&amp;C&amp;"Times New Roman,Normal"&amp;12&amp;F - &amp;A - Pág. &amp;P/&amp;N</oddHeader>
  </headerFooter>
  <rowBreaks count="2" manualBreakCount="2">
    <brk id="57" max="16383" man="1"/>
    <brk id="115" max="16383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153"/>
  <sheetViews>
    <sheetView showGridLines="0" topLeftCell="A130" zoomScaleNormal="100" workbookViewId="0">
      <selection activeCell="C139" sqref="C139"/>
    </sheetView>
  </sheetViews>
  <sheetFormatPr defaultColWidth="9.140625" defaultRowHeight="15.75" x14ac:dyDescent="0.25"/>
  <cols>
    <col min="1" max="1" width="9.140625" style="30"/>
    <col min="2" max="2" width="73.42578125" style="30" customWidth="1"/>
    <col min="3" max="4" width="16.85546875" style="30" customWidth="1"/>
    <col min="5" max="5" width="12.7109375" style="30" customWidth="1"/>
    <col min="6" max="6" width="12" style="30" customWidth="1"/>
    <col min="7" max="7" width="15.140625" style="30" customWidth="1"/>
    <col min="8" max="1024" width="9.140625" style="30"/>
  </cols>
  <sheetData>
    <row r="1" spans="1:6" x14ac:dyDescent="0.25">
      <c r="A1" s="160" t="s">
        <v>0</v>
      </c>
      <c r="B1" s="160"/>
      <c r="C1" s="160"/>
      <c r="D1" s="160"/>
    </row>
    <row r="2" spans="1:6" x14ac:dyDescent="0.25">
      <c r="A2" s="160" t="s">
        <v>1</v>
      </c>
      <c r="B2" s="160"/>
      <c r="C2" s="160"/>
      <c r="D2" s="160"/>
    </row>
    <row r="3" spans="1:6" x14ac:dyDescent="0.25">
      <c r="A3" s="177" t="s">
        <v>2</v>
      </c>
      <c r="B3" s="177"/>
      <c r="C3" s="177"/>
      <c r="D3" s="177"/>
    </row>
    <row r="4" spans="1:6" x14ac:dyDescent="0.25">
      <c r="A4" s="31"/>
      <c r="B4" s="31"/>
      <c r="C4" s="31"/>
      <c r="D4" s="31"/>
    </row>
    <row r="5" spans="1:6" ht="24.75" customHeight="1" x14ac:dyDescent="0.25">
      <c r="A5" s="178" t="s">
        <v>3</v>
      </c>
      <c r="B5" s="178"/>
      <c r="C5" s="178"/>
      <c r="D5" s="178"/>
    </row>
    <row r="6" spans="1:6" x14ac:dyDescent="0.25">
      <c r="A6" s="31"/>
      <c r="B6" s="31"/>
      <c r="C6" s="31"/>
      <c r="D6" s="31"/>
    </row>
    <row r="7" spans="1:6" ht="15.75" customHeight="1" x14ac:dyDescent="0.25">
      <c r="A7" s="32" t="s">
        <v>23</v>
      </c>
      <c r="B7" s="33" t="s">
        <v>24</v>
      </c>
      <c r="C7" s="175"/>
      <c r="D7" s="175"/>
    </row>
    <row r="8" spans="1:6" x14ac:dyDescent="0.25">
      <c r="A8" s="32" t="s">
        <v>25</v>
      </c>
      <c r="B8" s="33" t="s">
        <v>26</v>
      </c>
      <c r="C8" s="175"/>
      <c r="D8" s="175"/>
    </row>
    <row r="9" spans="1:6" x14ac:dyDescent="0.25">
      <c r="A9" s="32" t="s">
        <v>27</v>
      </c>
      <c r="B9" s="33" t="s">
        <v>28</v>
      </c>
      <c r="C9" s="175"/>
      <c r="D9" s="175"/>
    </row>
    <row r="10" spans="1:6" x14ac:dyDescent="0.25">
      <c r="A10" s="32" t="s">
        <v>29</v>
      </c>
      <c r="B10" s="33" t="s">
        <v>30</v>
      </c>
      <c r="C10" s="175"/>
      <c r="D10" s="175"/>
    </row>
    <row r="11" spans="1:6" x14ac:dyDescent="0.25">
      <c r="A11" s="34"/>
      <c r="B11" s="35"/>
      <c r="C11" s="34"/>
      <c r="D11" s="34"/>
      <c r="E11" s="34"/>
      <c r="F11" s="34"/>
    </row>
    <row r="12" spans="1:6" ht="31.5" customHeight="1" x14ac:dyDescent="0.25">
      <c r="A12" s="34"/>
      <c r="B12" s="33" t="s">
        <v>31</v>
      </c>
      <c r="C12" s="175" t="s">
        <v>32</v>
      </c>
      <c r="D12" s="175"/>
      <c r="E12" s="34"/>
      <c r="F12" s="34"/>
    </row>
    <row r="13" spans="1:6" ht="15.75" customHeight="1" x14ac:dyDescent="0.25">
      <c r="A13" s="34"/>
      <c r="B13" s="33" t="s">
        <v>33</v>
      </c>
      <c r="C13" s="176" t="s">
        <v>34</v>
      </c>
      <c r="D13" s="176"/>
      <c r="E13" s="34"/>
      <c r="F13" s="34"/>
    </row>
    <row r="14" spans="1:6" ht="54" x14ac:dyDescent="0.25">
      <c r="A14" s="34"/>
      <c r="B14" s="33" t="s">
        <v>35</v>
      </c>
      <c r="C14" s="172">
        <v>1836.16</v>
      </c>
      <c r="D14" s="172"/>
      <c r="E14" s="34"/>
      <c r="F14" s="34"/>
    </row>
    <row r="15" spans="1:6" ht="15.75" customHeight="1" x14ac:dyDescent="0.25">
      <c r="A15" s="34"/>
      <c r="B15" s="33" t="s">
        <v>36</v>
      </c>
      <c r="C15" s="173" t="s">
        <v>37</v>
      </c>
      <c r="D15" s="173"/>
      <c r="E15" s="34"/>
      <c r="F15" s="34"/>
    </row>
    <row r="16" spans="1:6" x14ac:dyDescent="0.25">
      <c r="A16" s="34"/>
      <c r="B16" s="33" t="s">
        <v>38</v>
      </c>
      <c r="C16" s="174">
        <v>44593</v>
      </c>
      <c r="D16" s="174"/>
      <c r="E16" s="34"/>
      <c r="F16" s="34"/>
    </row>
    <row r="17" spans="1:6" ht="15.75" customHeight="1" x14ac:dyDescent="0.25">
      <c r="A17" s="34"/>
      <c r="B17" s="33" t="s">
        <v>39</v>
      </c>
      <c r="C17" s="175" t="s">
        <v>14</v>
      </c>
      <c r="D17" s="175"/>
      <c r="E17" s="34"/>
      <c r="F17" s="34"/>
    </row>
    <row r="18" spans="1:6" x14ac:dyDescent="0.25">
      <c r="A18" s="34"/>
      <c r="B18" s="33" t="s">
        <v>40</v>
      </c>
      <c r="C18" s="175">
        <v>1</v>
      </c>
      <c r="D18" s="175"/>
      <c r="E18" s="34"/>
      <c r="F18" s="34"/>
    </row>
    <row r="20" spans="1:6" x14ac:dyDescent="0.25">
      <c r="A20" s="165" t="s">
        <v>41</v>
      </c>
      <c r="B20" s="165"/>
      <c r="C20" s="165"/>
      <c r="D20" s="165"/>
    </row>
    <row r="22" spans="1:6" ht="15.75" customHeight="1" x14ac:dyDescent="0.25">
      <c r="A22" s="36">
        <v>1</v>
      </c>
      <c r="B22" s="164" t="s">
        <v>42</v>
      </c>
      <c r="C22" s="164"/>
      <c r="D22" s="36" t="s">
        <v>43</v>
      </c>
    </row>
    <row r="23" spans="1:6" ht="15.75" customHeight="1" x14ac:dyDescent="0.25">
      <c r="A23" s="37" t="s">
        <v>23</v>
      </c>
      <c r="B23" s="163" t="s">
        <v>44</v>
      </c>
      <c r="C23" s="163"/>
      <c r="D23" s="39">
        <f>C14</f>
        <v>1836.16</v>
      </c>
    </row>
    <row r="24" spans="1:6" ht="15.75" customHeight="1" x14ac:dyDescent="0.25">
      <c r="A24" s="37" t="s">
        <v>25</v>
      </c>
      <c r="B24" s="163" t="s">
        <v>45</v>
      </c>
      <c r="C24" s="163"/>
      <c r="D24" s="39">
        <v>0</v>
      </c>
    </row>
    <row r="25" spans="1:6" ht="15.75" customHeight="1" x14ac:dyDescent="0.25">
      <c r="A25" s="37" t="s">
        <v>27</v>
      </c>
      <c r="B25" s="163" t="s">
        <v>46</v>
      </c>
      <c r="C25" s="163"/>
      <c r="D25" s="39">
        <v>0</v>
      </c>
    </row>
    <row r="26" spans="1:6" ht="15.75" customHeight="1" x14ac:dyDescent="0.25">
      <c r="A26" s="37" t="s">
        <v>29</v>
      </c>
      <c r="B26" s="163" t="s">
        <v>47</v>
      </c>
      <c r="C26" s="163"/>
      <c r="D26" s="39">
        <v>0</v>
      </c>
    </row>
    <row r="27" spans="1:6" ht="15.75" customHeight="1" x14ac:dyDescent="0.25">
      <c r="A27" s="37" t="s">
        <v>48</v>
      </c>
      <c r="B27" s="163" t="s">
        <v>49</v>
      </c>
      <c r="C27" s="163"/>
      <c r="D27" s="39">
        <v>0</v>
      </c>
    </row>
    <row r="28" spans="1:6" ht="15.75" customHeight="1" x14ac:dyDescent="0.25">
      <c r="A28" s="37" t="s">
        <v>50</v>
      </c>
      <c r="B28" s="163" t="s">
        <v>51</v>
      </c>
      <c r="C28" s="163"/>
      <c r="D28" s="39">
        <v>0</v>
      </c>
    </row>
    <row r="29" spans="1:6" ht="15.75" customHeight="1" x14ac:dyDescent="0.25">
      <c r="A29" s="164" t="s">
        <v>52</v>
      </c>
      <c r="B29" s="164"/>
      <c r="C29" s="164"/>
      <c r="D29" s="40">
        <f>SUM(D23:D28)</f>
        <v>1836.16</v>
      </c>
      <c r="E29" s="41"/>
    </row>
    <row r="32" spans="1:6" x14ac:dyDescent="0.25">
      <c r="A32" s="165" t="s">
        <v>53</v>
      </c>
      <c r="B32" s="165"/>
      <c r="C32" s="165"/>
      <c r="D32" s="165"/>
    </row>
    <row r="33" spans="1:6" x14ac:dyDescent="0.25">
      <c r="A33" s="42"/>
    </row>
    <row r="34" spans="1:6" x14ac:dyDescent="0.25">
      <c r="A34" s="166" t="s">
        <v>54</v>
      </c>
      <c r="B34" s="166"/>
      <c r="C34" s="166"/>
      <c r="D34" s="166"/>
    </row>
    <row r="36" spans="1:6" ht="15.75" customHeight="1" x14ac:dyDescent="0.25">
      <c r="A36" s="36" t="s">
        <v>55</v>
      </c>
      <c r="B36" s="164" t="s">
        <v>56</v>
      </c>
      <c r="C36" s="164"/>
      <c r="D36" s="36" t="s">
        <v>43</v>
      </c>
    </row>
    <row r="37" spans="1:6" ht="15.75" customHeight="1" x14ac:dyDescent="0.25">
      <c r="A37" s="37" t="s">
        <v>23</v>
      </c>
      <c r="B37" s="163" t="s">
        <v>57</v>
      </c>
      <c r="C37" s="163"/>
      <c r="D37" s="39">
        <f>D29/12</f>
        <v>153.01333333333335</v>
      </c>
    </row>
    <row r="38" spans="1:6" ht="15.75" customHeight="1" x14ac:dyDescent="0.25">
      <c r="A38" s="149" t="s">
        <v>25</v>
      </c>
      <c r="B38" s="171" t="s">
        <v>261</v>
      </c>
      <c r="C38" s="171"/>
      <c r="D38" s="150">
        <f>((D29/3)/12)</f>
        <v>51.004444444444452</v>
      </c>
    </row>
    <row r="39" spans="1:6" ht="15.75" customHeight="1" x14ac:dyDescent="0.25">
      <c r="A39" s="164" t="s">
        <v>52</v>
      </c>
      <c r="B39" s="164"/>
      <c r="C39" s="164"/>
      <c r="D39" s="40">
        <f>SUM(D37:D38)</f>
        <v>204.01777777777781</v>
      </c>
      <c r="F39" s="43"/>
    </row>
    <row r="40" spans="1:6" ht="15.75" customHeight="1" x14ac:dyDescent="0.25">
      <c r="A40" s="44"/>
      <c r="B40" s="44"/>
      <c r="C40" s="44"/>
      <c r="D40" s="45"/>
      <c r="F40" s="43"/>
    </row>
    <row r="41" spans="1:6" ht="15.75" customHeight="1" x14ac:dyDescent="0.25">
      <c r="F41" s="43"/>
    </row>
    <row r="42" spans="1:6" x14ac:dyDescent="0.25">
      <c r="A42" s="168" t="s">
        <v>58</v>
      </c>
      <c r="B42" s="168"/>
      <c r="C42" s="168"/>
      <c r="D42" s="40">
        <f>D29+D39</f>
        <v>2040.1777777777779</v>
      </c>
    </row>
    <row r="44" spans="1:6" ht="15.75" customHeight="1" x14ac:dyDescent="0.25">
      <c r="A44" s="169" t="s">
        <v>59</v>
      </c>
      <c r="B44" s="169"/>
      <c r="C44" s="169"/>
      <c r="D44" s="169"/>
    </row>
    <row r="46" spans="1:6" x14ac:dyDescent="0.25">
      <c r="A46" s="36" t="s">
        <v>60</v>
      </c>
      <c r="B46" s="36" t="s">
        <v>61</v>
      </c>
      <c r="C46" s="36" t="s">
        <v>62</v>
      </c>
      <c r="D46" s="36" t="s">
        <v>43</v>
      </c>
    </row>
    <row r="47" spans="1:6" x14ac:dyDescent="0.25">
      <c r="A47" s="37" t="s">
        <v>23</v>
      </c>
      <c r="B47" s="46" t="s">
        <v>63</v>
      </c>
      <c r="C47" s="47">
        <v>0.2</v>
      </c>
      <c r="D47" s="48">
        <f>C47*D42</f>
        <v>408.03555555555562</v>
      </c>
    </row>
    <row r="48" spans="1:6" x14ac:dyDescent="0.25">
      <c r="A48" s="37" t="s">
        <v>25</v>
      </c>
      <c r="B48" s="46" t="s">
        <v>64</v>
      </c>
      <c r="C48" s="47">
        <v>2.5000000000000001E-2</v>
      </c>
      <c r="D48" s="48">
        <f>C48*D42</f>
        <v>51.004444444444452</v>
      </c>
    </row>
    <row r="49" spans="1:4" x14ac:dyDescent="0.25">
      <c r="A49" s="37" t="s">
        <v>27</v>
      </c>
      <c r="B49" s="46" t="s">
        <v>65</v>
      </c>
      <c r="C49" s="47">
        <f>3%*2</f>
        <v>0.06</v>
      </c>
      <c r="D49" s="48">
        <f>C49*D42</f>
        <v>122.41066666666667</v>
      </c>
    </row>
    <row r="50" spans="1:4" x14ac:dyDescent="0.25">
      <c r="A50" s="37" t="s">
        <v>29</v>
      </c>
      <c r="B50" s="46" t="s">
        <v>66</v>
      </c>
      <c r="C50" s="47">
        <v>1.4999999999999999E-2</v>
      </c>
      <c r="D50" s="48">
        <f>C50*D42</f>
        <v>30.602666666666668</v>
      </c>
    </row>
    <row r="51" spans="1:4" x14ac:dyDescent="0.25">
      <c r="A51" s="37" t="s">
        <v>48</v>
      </c>
      <c r="B51" s="46" t="s">
        <v>67</v>
      </c>
      <c r="C51" s="47">
        <v>0.01</v>
      </c>
      <c r="D51" s="48">
        <f>C51*D42</f>
        <v>20.401777777777781</v>
      </c>
    </row>
    <row r="52" spans="1:4" x14ac:dyDescent="0.25">
      <c r="A52" s="37" t="s">
        <v>50</v>
      </c>
      <c r="B52" s="46" t="s">
        <v>68</v>
      </c>
      <c r="C52" s="47">
        <v>6.0000000000000001E-3</v>
      </c>
      <c r="D52" s="48">
        <f>C52*D42</f>
        <v>12.241066666666669</v>
      </c>
    </row>
    <row r="53" spans="1:4" x14ac:dyDescent="0.25">
      <c r="A53" s="37" t="s">
        <v>69</v>
      </c>
      <c r="B53" s="46" t="s">
        <v>70</v>
      </c>
      <c r="C53" s="47">
        <v>2E-3</v>
      </c>
      <c r="D53" s="48">
        <f>C53*D42</f>
        <v>4.0803555555555562</v>
      </c>
    </row>
    <row r="54" spans="1:4" x14ac:dyDescent="0.25">
      <c r="A54" s="37" t="s">
        <v>71</v>
      </c>
      <c r="B54" s="46" t="s">
        <v>72</v>
      </c>
      <c r="C54" s="47">
        <v>0.08</v>
      </c>
      <c r="D54" s="48">
        <f>C54*D42</f>
        <v>163.21422222222225</v>
      </c>
    </row>
    <row r="55" spans="1:4" ht="15.75" customHeight="1" x14ac:dyDescent="0.25">
      <c r="A55" s="164" t="s">
        <v>73</v>
      </c>
      <c r="B55" s="164"/>
      <c r="C55" s="49">
        <f>SUM(C47:C54)</f>
        <v>0.39800000000000008</v>
      </c>
      <c r="D55" s="50">
        <f>SUM(D47:D54)</f>
        <v>811.99075555555567</v>
      </c>
    </row>
    <row r="58" spans="1:4" x14ac:dyDescent="0.25">
      <c r="A58" s="166" t="s">
        <v>74</v>
      </c>
      <c r="B58" s="166"/>
      <c r="C58" s="166"/>
      <c r="D58" s="166"/>
    </row>
    <row r="60" spans="1:4" x14ac:dyDescent="0.25">
      <c r="A60" s="36" t="s">
        <v>75</v>
      </c>
      <c r="B60" s="51" t="s">
        <v>76</v>
      </c>
      <c r="C60" s="36" t="s">
        <v>43</v>
      </c>
      <c r="D60" s="36" t="s">
        <v>43</v>
      </c>
    </row>
    <row r="61" spans="1:4" x14ac:dyDescent="0.25">
      <c r="A61" s="37" t="s">
        <v>23</v>
      </c>
      <c r="B61" s="38" t="s">
        <v>77</v>
      </c>
      <c r="C61" s="78">
        <v>4</v>
      </c>
      <c r="D61" s="64">
        <f>IF(((C61*44)-(D23*6%))&gt;0,((C61*44)-(D23*6%)),0)</f>
        <v>65.830399999999997</v>
      </c>
    </row>
    <row r="62" spans="1:4" x14ac:dyDescent="0.25">
      <c r="A62" s="37" t="s">
        <v>25</v>
      </c>
      <c r="B62" s="46" t="s">
        <v>78</v>
      </c>
      <c r="C62" s="53">
        <v>500.85</v>
      </c>
      <c r="D62" s="48">
        <f>C62*0.8</f>
        <v>400.68000000000006</v>
      </c>
    </row>
    <row r="63" spans="1:4" ht="15.75" customHeight="1" x14ac:dyDescent="0.25">
      <c r="A63" s="37" t="s">
        <v>27</v>
      </c>
      <c r="B63" s="163" t="s">
        <v>79</v>
      </c>
      <c r="C63" s="163"/>
      <c r="D63" s="48">
        <f>D62/12</f>
        <v>33.390000000000008</v>
      </c>
    </row>
    <row r="64" spans="1:4" ht="15.75" customHeight="1" x14ac:dyDescent="0.25">
      <c r="A64" s="37" t="s">
        <v>29</v>
      </c>
      <c r="B64" s="163" t="s">
        <v>80</v>
      </c>
      <c r="C64" s="163"/>
      <c r="D64" s="48">
        <v>71.5</v>
      </c>
    </row>
    <row r="65" spans="1:4" ht="15.75" customHeight="1" x14ac:dyDescent="0.25">
      <c r="A65" s="37" t="s">
        <v>48</v>
      </c>
      <c r="B65" s="163" t="s">
        <v>81</v>
      </c>
      <c r="C65" s="163"/>
      <c r="D65" s="48">
        <v>23.5</v>
      </c>
    </row>
    <row r="66" spans="1:4" ht="15.75" customHeight="1" x14ac:dyDescent="0.25">
      <c r="A66" s="37" t="s">
        <v>50</v>
      </c>
      <c r="B66" s="163" t="s">
        <v>82</v>
      </c>
      <c r="C66" s="163"/>
      <c r="D66" s="48">
        <v>23.5</v>
      </c>
    </row>
    <row r="67" spans="1:4" ht="15.75" customHeight="1" x14ac:dyDescent="0.25">
      <c r="A67" s="164" t="s">
        <v>52</v>
      </c>
      <c r="B67" s="164"/>
      <c r="C67" s="164"/>
      <c r="D67" s="54">
        <f>SUM(D61:D66)</f>
        <v>618.40039999999999</v>
      </c>
    </row>
    <row r="70" spans="1:4" x14ac:dyDescent="0.25">
      <c r="A70" s="166" t="s">
        <v>83</v>
      </c>
      <c r="B70" s="166"/>
      <c r="C70" s="166"/>
      <c r="D70" s="166"/>
    </row>
    <row r="72" spans="1:4" ht="15.75" customHeight="1" x14ac:dyDescent="0.25">
      <c r="A72" s="36">
        <v>2</v>
      </c>
      <c r="B72" s="164" t="s">
        <v>84</v>
      </c>
      <c r="C72" s="164"/>
      <c r="D72" s="36" t="s">
        <v>43</v>
      </c>
    </row>
    <row r="73" spans="1:4" ht="15.75" customHeight="1" x14ac:dyDescent="0.25">
      <c r="A73" s="37" t="s">
        <v>55</v>
      </c>
      <c r="B73" s="163" t="s">
        <v>262</v>
      </c>
      <c r="C73" s="163"/>
      <c r="D73" s="48">
        <f>D39</f>
        <v>204.01777777777781</v>
      </c>
    </row>
    <row r="74" spans="1:4" ht="15.75" customHeight="1" x14ac:dyDescent="0.25">
      <c r="A74" s="37" t="s">
        <v>60</v>
      </c>
      <c r="B74" s="163" t="s">
        <v>61</v>
      </c>
      <c r="C74" s="163"/>
      <c r="D74" s="48">
        <f>D55</f>
        <v>811.99075555555567</v>
      </c>
    </row>
    <row r="75" spans="1:4" ht="15.75" customHeight="1" x14ac:dyDescent="0.25">
      <c r="A75" s="37" t="s">
        <v>75</v>
      </c>
      <c r="B75" s="163" t="s">
        <v>76</v>
      </c>
      <c r="C75" s="163"/>
      <c r="D75" s="48">
        <f>D67</f>
        <v>618.40039999999999</v>
      </c>
    </row>
    <row r="76" spans="1:4" ht="15.75" customHeight="1" x14ac:dyDescent="0.25">
      <c r="A76" s="164" t="s">
        <v>52</v>
      </c>
      <c r="B76" s="164"/>
      <c r="C76" s="164"/>
      <c r="D76" s="54">
        <f>SUM(D73:D75)</f>
        <v>1634.4089333333336</v>
      </c>
    </row>
    <row r="77" spans="1:4" x14ac:dyDescent="0.25">
      <c r="A77" s="55"/>
    </row>
    <row r="79" spans="1:4" x14ac:dyDescent="0.25">
      <c r="A79" s="165" t="s">
        <v>85</v>
      </c>
      <c r="B79" s="165"/>
      <c r="C79" s="165"/>
      <c r="D79" s="165"/>
    </row>
    <row r="81" spans="1:6" x14ac:dyDescent="0.25">
      <c r="A81" s="36">
        <v>3</v>
      </c>
      <c r="B81" s="56" t="s">
        <v>86</v>
      </c>
      <c r="C81" s="36" t="s">
        <v>62</v>
      </c>
      <c r="D81" s="36" t="s">
        <v>43</v>
      </c>
    </row>
    <row r="82" spans="1:6" x14ac:dyDescent="0.25">
      <c r="A82" s="37" t="s">
        <v>23</v>
      </c>
      <c r="B82" s="57" t="s">
        <v>87</v>
      </c>
      <c r="C82" s="47">
        <f>0.05*(1/12)</f>
        <v>4.1666666666666666E-3</v>
      </c>
      <c r="D82" s="48">
        <f>C82*D29</f>
        <v>7.6506666666666669</v>
      </c>
    </row>
    <row r="83" spans="1:6" x14ac:dyDescent="0.25">
      <c r="A83" s="37" t="s">
        <v>25</v>
      </c>
      <c r="B83" s="57" t="s">
        <v>88</v>
      </c>
      <c r="C83" s="47">
        <f>C82*C54</f>
        <v>3.3333333333333332E-4</v>
      </c>
      <c r="D83" s="48">
        <f>C83*D29</f>
        <v>0.61205333333333334</v>
      </c>
    </row>
    <row r="84" spans="1:6" x14ac:dyDescent="0.25">
      <c r="A84" s="37" t="s">
        <v>27</v>
      </c>
      <c r="B84" s="57" t="s">
        <v>89</v>
      </c>
      <c r="C84" s="47">
        <f>0.08*0.4*0.9*(1+2/12+(1/3*1/12))</f>
        <v>3.44E-2</v>
      </c>
      <c r="D84" s="48">
        <f>C84*D29</f>
        <v>63.163904000000002</v>
      </c>
    </row>
    <row r="85" spans="1:6" x14ac:dyDescent="0.25">
      <c r="A85" s="37" t="s">
        <v>29</v>
      </c>
      <c r="B85" s="57" t="s">
        <v>90</v>
      </c>
      <c r="C85" s="58">
        <f>(7/30)/12</f>
        <v>1.9444444444444445E-2</v>
      </c>
      <c r="D85" s="48">
        <f>C85*D29</f>
        <v>35.703111111111113</v>
      </c>
    </row>
    <row r="86" spans="1:6" x14ac:dyDescent="0.25">
      <c r="A86" s="37" t="s">
        <v>48</v>
      </c>
      <c r="B86" s="57" t="s">
        <v>91</v>
      </c>
      <c r="C86" s="58">
        <f>C85*C55</f>
        <v>7.7388888888888906E-3</v>
      </c>
      <c r="D86" s="48">
        <f>C86*D29</f>
        <v>14.209838222222226</v>
      </c>
      <c r="F86" s="60"/>
    </row>
    <row r="87" spans="1:6" x14ac:dyDescent="0.25">
      <c r="A87" s="37" t="s">
        <v>50</v>
      </c>
      <c r="B87" s="57" t="s">
        <v>92</v>
      </c>
      <c r="C87" s="58">
        <f>C85*0.08*0.4</f>
        <v>6.2222222222222236E-4</v>
      </c>
      <c r="D87" s="48">
        <f>C87*D29</f>
        <v>1.1424995555555559</v>
      </c>
    </row>
    <row r="88" spans="1:6" ht="15.75" customHeight="1" x14ac:dyDescent="0.25">
      <c r="A88" s="167" t="s">
        <v>52</v>
      </c>
      <c r="B88" s="167"/>
      <c r="C88" s="49">
        <f>SUM(C82:C87)</f>
        <v>6.6705555555555546E-2</v>
      </c>
      <c r="D88" s="40">
        <f>SUM(D82:D87)</f>
        <v>122.48207288888891</v>
      </c>
    </row>
    <row r="91" spans="1:6" x14ac:dyDescent="0.25">
      <c r="A91" s="165" t="s">
        <v>93</v>
      </c>
      <c r="B91" s="165"/>
      <c r="C91" s="165"/>
      <c r="D91" s="165"/>
    </row>
    <row r="94" spans="1:6" x14ac:dyDescent="0.25">
      <c r="A94" s="166" t="s">
        <v>94</v>
      </c>
      <c r="B94" s="166"/>
      <c r="C94" s="166"/>
      <c r="D94" s="166"/>
    </row>
    <row r="95" spans="1:6" x14ac:dyDescent="0.25">
      <c r="A95" s="42"/>
    </row>
    <row r="96" spans="1:6" x14ac:dyDescent="0.25">
      <c r="A96" s="36" t="s">
        <v>95</v>
      </c>
      <c r="B96" s="61" t="s">
        <v>96</v>
      </c>
      <c r="C96" s="36" t="s">
        <v>62</v>
      </c>
      <c r="D96" s="36" t="s">
        <v>43</v>
      </c>
    </row>
    <row r="97" spans="1:5" x14ac:dyDescent="0.25">
      <c r="A97" s="37" t="s">
        <v>23</v>
      </c>
      <c r="B97" s="57" t="s">
        <v>97</v>
      </c>
      <c r="C97" s="47">
        <f>1/12</f>
        <v>8.3333333333333329E-2</v>
      </c>
      <c r="D97" s="48">
        <f>C97*D29</f>
        <v>153.01333333333332</v>
      </c>
    </row>
    <row r="98" spans="1:5" x14ac:dyDescent="0.25">
      <c r="A98" s="37" t="s">
        <v>25</v>
      </c>
      <c r="B98" s="57" t="s">
        <v>98</v>
      </c>
      <c r="C98" s="47">
        <f>1/30/12</f>
        <v>2.7777777777777779E-3</v>
      </c>
      <c r="D98" s="48">
        <f>C98*D29</f>
        <v>5.1004444444444452</v>
      </c>
    </row>
    <row r="99" spans="1:5" x14ac:dyDescent="0.25">
      <c r="A99" s="37" t="s">
        <v>27</v>
      </c>
      <c r="B99" s="57" t="s">
        <v>99</v>
      </c>
      <c r="C99" s="47">
        <f>(5/30/12)*0.015</f>
        <v>2.0833333333333332E-4</v>
      </c>
      <c r="D99" s="48">
        <f>C99*D29</f>
        <v>0.38253333333333334</v>
      </c>
      <c r="E99" s="60"/>
    </row>
    <row r="100" spans="1:5" x14ac:dyDescent="0.25">
      <c r="A100" s="37" t="s">
        <v>29</v>
      </c>
      <c r="B100" s="57" t="s">
        <v>100</v>
      </c>
      <c r="C100" s="47">
        <f>(1/12)*0.0178</f>
        <v>1.4833333333333332E-3</v>
      </c>
      <c r="D100" s="48">
        <f>C100*D29</f>
        <v>2.7236373333333335</v>
      </c>
    </row>
    <row r="101" spans="1:5" x14ac:dyDescent="0.25">
      <c r="A101" s="37" t="s">
        <v>48</v>
      </c>
      <c r="B101" s="57" t="s">
        <v>101</v>
      </c>
      <c r="C101" s="47">
        <f>11.11%*5.28%*50%</f>
        <v>2.9330399999999996E-3</v>
      </c>
      <c r="D101" s="48">
        <f>C101*D29</f>
        <v>5.3855307263999999</v>
      </c>
    </row>
    <row r="102" spans="1:5" x14ac:dyDescent="0.25">
      <c r="A102" s="37" t="s">
        <v>50</v>
      </c>
      <c r="B102" s="57" t="s">
        <v>102</v>
      </c>
      <c r="C102" s="47">
        <f>5/30/12</f>
        <v>1.3888888888888888E-2</v>
      </c>
      <c r="D102" s="48">
        <f>C102*D29</f>
        <v>25.502222222222223</v>
      </c>
    </row>
    <row r="103" spans="1:5" ht="15.75" customHeight="1" x14ac:dyDescent="0.25">
      <c r="A103" s="164" t="s">
        <v>103</v>
      </c>
      <c r="B103" s="164"/>
      <c r="C103" s="49">
        <f>SUM(C97:C102)</f>
        <v>0.10462470666666668</v>
      </c>
      <c r="D103" s="54">
        <f>SUM(D97:D102)</f>
        <v>192.10770139306663</v>
      </c>
    </row>
    <row r="104" spans="1:5" x14ac:dyDescent="0.25">
      <c r="A104" s="26" t="s">
        <v>69</v>
      </c>
      <c r="B104" s="62" t="s">
        <v>104</v>
      </c>
      <c r="C104" s="63">
        <f>C103*C55</f>
        <v>4.1640633253333344E-2</v>
      </c>
      <c r="D104" s="64">
        <f>C104*D29</f>
        <v>76.458865154440559</v>
      </c>
    </row>
    <row r="105" spans="1:5" ht="15.75" customHeight="1" x14ac:dyDescent="0.25">
      <c r="A105" s="164" t="s">
        <v>73</v>
      </c>
      <c r="B105" s="164"/>
      <c r="C105" s="49">
        <f>SUM(C103:C104)</f>
        <v>0.14626533992000001</v>
      </c>
      <c r="D105" s="40">
        <f>SUM(D103:D104)</f>
        <v>268.56656654750719</v>
      </c>
    </row>
    <row r="108" spans="1:5" x14ac:dyDescent="0.25">
      <c r="A108" s="166" t="s">
        <v>105</v>
      </c>
      <c r="B108" s="166"/>
      <c r="C108" s="166"/>
      <c r="D108" s="166"/>
    </row>
    <row r="109" spans="1:5" x14ac:dyDescent="0.25">
      <c r="A109" s="42"/>
    </row>
    <row r="110" spans="1:5" x14ac:dyDescent="0.25">
      <c r="A110" s="36" t="s">
        <v>106</v>
      </c>
      <c r="B110" s="61" t="s">
        <v>107</v>
      </c>
      <c r="C110" s="36" t="s">
        <v>62</v>
      </c>
      <c r="D110" s="36" t="s">
        <v>43</v>
      </c>
    </row>
    <row r="111" spans="1:5" x14ac:dyDescent="0.25">
      <c r="A111" s="37" t="s">
        <v>23</v>
      </c>
      <c r="B111" s="57" t="s">
        <v>108</v>
      </c>
      <c r="C111" s="47">
        <v>0</v>
      </c>
      <c r="D111" s="39">
        <f>C111*D29</f>
        <v>0</v>
      </c>
    </row>
    <row r="112" spans="1:5" ht="15.75" customHeight="1" x14ac:dyDescent="0.25">
      <c r="A112" s="167" t="s">
        <v>52</v>
      </c>
      <c r="B112" s="167"/>
      <c r="C112" s="49">
        <f>SUM(C111)</f>
        <v>0</v>
      </c>
      <c r="D112" s="40">
        <f>SUM(D111)</f>
        <v>0</v>
      </c>
    </row>
    <row r="115" spans="1:4" x14ac:dyDescent="0.25">
      <c r="A115" s="166" t="s">
        <v>109</v>
      </c>
      <c r="B115" s="166"/>
      <c r="C115" s="166"/>
      <c r="D115" s="166"/>
    </row>
    <row r="116" spans="1:4" x14ac:dyDescent="0.25">
      <c r="A116" s="42"/>
    </row>
    <row r="117" spans="1:4" ht="15.75" customHeight="1" x14ac:dyDescent="0.25">
      <c r="A117" s="36">
        <v>4</v>
      </c>
      <c r="B117" s="164" t="s">
        <v>110</v>
      </c>
      <c r="C117" s="164"/>
      <c r="D117" s="36" t="s">
        <v>43</v>
      </c>
    </row>
    <row r="118" spans="1:4" ht="15.75" customHeight="1" x14ac:dyDescent="0.25">
      <c r="A118" s="37" t="s">
        <v>95</v>
      </c>
      <c r="B118" s="163" t="s">
        <v>96</v>
      </c>
      <c r="C118" s="163"/>
      <c r="D118" s="39">
        <f>D105</f>
        <v>268.56656654750719</v>
      </c>
    </row>
    <row r="119" spans="1:4" ht="15.75" customHeight="1" x14ac:dyDescent="0.25">
      <c r="A119" s="37" t="s">
        <v>106</v>
      </c>
      <c r="B119" s="163" t="s">
        <v>107</v>
      </c>
      <c r="C119" s="163"/>
      <c r="D119" s="39">
        <f>D112</f>
        <v>0</v>
      </c>
    </row>
    <row r="120" spans="1:4" ht="15.75" customHeight="1" x14ac:dyDescent="0.25">
      <c r="A120" s="164" t="s">
        <v>52</v>
      </c>
      <c r="B120" s="164"/>
      <c r="C120" s="164"/>
      <c r="D120" s="40">
        <f>SUM(D118:D119)</f>
        <v>268.56656654750719</v>
      </c>
    </row>
    <row r="123" spans="1:4" x14ac:dyDescent="0.25">
      <c r="A123" s="165" t="s">
        <v>111</v>
      </c>
      <c r="B123" s="165"/>
      <c r="C123" s="165"/>
      <c r="D123" s="165"/>
    </row>
    <row r="125" spans="1:4" ht="15.75" customHeight="1" x14ac:dyDescent="0.25">
      <c r="A125" s="36">
        <v>5</v>
      </c>
      <c r="B125" s="164" t="s">
        <v>112</v>
      </c>
      <c r="C125" s="164"/>
      <c r="D125" s="36" t="s">
        <v>43</v>
      </c>
    </row>
    <row r="126" spans="1:4" ht="15.75" customHeight="1" x14ac:dyDescent="0.25">
      <c r="A126" s="37" t="s">
        <v>23</v>
      </c>
      <c r="B126" s="163" t="s">
        <v>113</v>
      </c>
      <c r="C126" s="163"/>
      <c r="D126" s="39">
        <f>Uniformes!H18</f>
        <v>109.36821428571427</v>
      </c>
    </row>
    <row r="127" spans="1:4" ht="15.75" customHeight="1" x14ac:dyDescent="0.25">
      <c r="A127" s="37" t="s">
        <v>25</v>
      </c>
      <c r="B127" s="163" t="s">
        <v>114</v>
      </c>
      <c r="C127" s="163"/>
      <c r="D127" s="65">
        <v>15</v>
      </c>
    </row>
    <row r="128" spans="1:4" ht="15.75" customHeight="1" x14ac:dyDescent="0.25">
      <c r="A128" s="164" t="s">
        <v>73</v>
      </c>
      <c r="B128" s="164"/>
      <c r="C128" s="164"/>
      <c r="D128" s="40">
        <f>SUM(D126:D127)</f>
        <v>124.36821428571427</v>
      </c>
    </row>
    <row r="131" spans="1:6" x14ac:dyDescent="0.25">
      <c r="A131" s="165" t="s">
        <v>115</v>
      </c>
      <c r="B131" s="165"/>
      <c r="C131" s="165"/>
      <c r="D131" s="165"/>
    </row>
    <row r="133" spans="1:6" x14ac:dyDescent="0.25">
      <c r="A133" s="36">
        <v>6</v>
      </c>
      <c r="B133" s="51" t="s">
        <v>116</v>
      </c>
      <c r="C133" s="36" t="s">
        <v>62</v>
      </c>
      <c r="D133" s="36" t="s">
        <v>43</v>
      </c>
    </row>
    <row r="134" spans="1:6" x14ac:dyDescent="0.25">
      <c r="A134" s="26" t="s">
        <v>23</v>
      </c>
      <c r="B134" s="66" t="s">
        <v>117</v>
      </c>
      <c r="C134" s="67">
        <v>0.06</v>
      </c>
      <c r="D134" s="68">
        <f>D151*C134</f>
        <v>239.15914722332664</v>
      </c>
      <c r="E134" s="69"/>
    </row>
    <row r="135" spans="1:6" x14ac:dyDescent="0.25">
      <c r="A135" s="37" t="s">
        <v>25</v>
      </c>
      <c r="B135" s="46" t="s">
        <v>118</v>
      </c>
      <c r="C135" s="70">
        <v>6.7900000000000002E-2</v>
      </c>
      <c r="D135" s="71">
        <f>C135*(D151+D134)</f>
        <v>286.88734103752853</v>
      </c>
    </row>
    <row r="136" spans="1:6" x14ac:dyDescent="0.25">
      <c r="A136" s="37" t="s">
        <v>27</v>
      </c>
      <c r="B136" s="46" t="s">
        <v>119</v>
      </c>
      <c r="C136" s="70">
        <f>SUM(C137:C139)</f>
        <v>7.6499999999999999E-2</v>
      </c>
      <c r="D136" s="71">
        <f>((D151+D134+D135)/(1-C136))*C136</f>
        <v>373.76336660714333</v>
      </c>
    </row>
    <row r="137" spans="1:6" x14ac:dyDescent="0.25">
      <c r="A137" s="37"/>
      <c r="B137" s="46" t="s">
        <v>120</v>
      </c>
      <c r="C137" s="72">
        <f>3.65%</f>
        <v>3.6499999999999998E-2</v>
      </c>
      <c r="D137" s="71">
        <f>((D151+D134+D135)/(1-C136))*C137</f>
        <v>178.33154093020565</v>
      </c>
    </row>
    <row r="138" spans="1:6" x14ac:dyDescent="0.25">
      <c r="A138" s="37"/>
      <c r="B138" s="46" t="s">
        <v>121</v>
      </c>
      <c r="C138" s="70">
        <v>0</v>
      </c>
      <c r="D138" s="71">
        <f>((D151+D134+D135)/(1-C136))*C138</f>
        <v>0</v>
      </c>
      <c r="F138" s="73"/>
    </row>
    <row r="139" spans="1:6" x14ac:dyDescent="0.25">
      <c r="A139" s="37"/>
      <c r="B139" s="46" t="s">
        <v>122</v>
      </c>
      <c r="C139" s="67">
        <v>0.04</v>
      </c>
      <c r="D139" s="71">
        <f>((D151+D134+D135)/(1-C136))*C139</f>
        <v>195.43182567693771</v>
      </c>
    </row>
    <row r="140" spans="1:6" ht="15.75" customHeight="1" x14ac:dyDescent="0.25">
      <c r="A140" s="164" t="s">
        <v>73</v>
      </c>
      <c r="B140" s="164"/>
      <c r="C140" s="49">
        <f>SUM(C134:C136)</f>
        <v>0.20440000000000003</v>
      </c>
      <c r="D140" s="74">
        <f>SUM(D134:D136)</f>
        <v>899.80985486799852</v>
      </c>
    </row>
    <row r="143" spans="1:6" x14ac:dyDescent="0.25">
      <c r="A143" s="165" t="s">
        <v>123</v>
      </c>
      <c r="B143" s="165"/>
      <c r="C143" s="165"/>
      <c r="D143" s="165"/>
    </row>
    <row r="145" spans="1:4" ht="15.75" customHeight="1" x14ac:dyDescent="0.25">
      <c r="A145" s="36"/>
      <c r="B145" s="164" t="s">
        <v>124</v>
      </c>
      <c r="C145" s="164"/>
      <c r="D145" s="36" t="s">
        <v>43</v>
      </c>
    </row>
    <row r="146" spans="1:4" ht="15.75" customHeight="1" x14ac:dyDescent="0.25">
      <c r="A146" s="36" t="s">
        <v>23</v>
      </c>
      <c r="B146" s="163" t="s">
        <v>41</v>
      </c>
      <c r="C146" s="163"/>
      <c r="D146" s="39">
        <f>D29</f>
        <v>1836.16</v>
      </c>
    </row>
    <row r="147" spans="1:4" ht="15.75" customHeight="1" x14ac:dyDescent="0.25">
      <c r="A147" s="36" t="s">
        <v>25</v>
      </c>
      <c r="B147" s="163" t="s">
        <v>53</v>
      </c>
      <c r="C147" s="163"/>
      <c r="D147" s="39">
        <f>D76</f>
        <v>1634.4089333333336</v>
      </c>
    </row>
    <row r="148" spans="1:4" ht="15.75" customHeight="1" x14ac:dyDescent="0.25">
      <c r="A148" s="36" t="s">
        <v>27</v>
      </c>
      <c r="B148" s="163" t="s">
        <v>85</v>
      </c>
      <c r="C148" s="163"/>
      <c r="D148" s="39">
        <f>D88</f>
        <v>122.48207288888891</v>
      </c>
    </row>
    <row r="149" spans="1:4" ht="15.75" customHeight="1" x14ac:dyDescent="0.25">
      <c r="A149" s="36" t="s">
        <v>29</v>
      </c>
      <c r="B149" s="163" t="s">
        <v>93</v>
      </c>
      <c r="C149" s="163"/>
      <c r="D149" s="39">
        <f>D120</f>
        <v>268.56656654750719</v>
      </c>
    </row>
    <row r="150" spans="1:4" ht="15.75" customHeight="1" x14ac:dyDescent="0.25">
      <c r="A150" s="36" t="s">
        <v>48</v>
      </c>
      <c r="B150" s="163" t="s">
        <v>111</v>
      </c>
      <c r="C150" s="163"/>
      <c r="D150" s="39">
        <f>D128</f>
        <v>124.36821428571427</v>
      </c>
    </row>
    <row r="151" spans="1:4" ht="15.75" customHeight="1" x14ac:dyDescent="0.25">
      <c r="A151" s="164" t="s">
        <v>125</v>
      </c>
      <c r="B151" s="164"/>
      <c r="C151" s="164"/>
      <c r="D151" s="40">
        <f>SUM(D146:D150)</f>
        <v>3985.9857870554442</v>
      </c>
    </row>
    <row r="152" spans="1:4" ht="15.75" customHeight="1" x14ac:dyDescent="0.25">
      <c r="A152" s="36" t="s">
        <v>50</v>
      </c>
      <c r="B152" s="163" t="s">
        <v>126</v>
      </c>
      <c r="C152" s="163"/>
      <c r="D152" s="39">
        <f>D140</f>
        <v>899.80985486799852</v>
      </c>
    </row>
    <row r="153" spans="1:4" ht="15.75" customHeight="1" x14ac:dyDescent="0.25">
      <c r="A153" s="164" t="s">
        <v>127</v>
      </c>
      <c r="B153" s="164"/>
      <c r="C153" s="164"/>
      <c r="D153" s="40">
        <f>TRUNC(SUM(D151:D152),2)</f>
        <v>4885.79</v>
      </c>
    </row>
  </sheetData>
  <mergeCells count="75">
    <mergeCell ref="A1:D1"/>
    <mergeCell ref="A2:D2"/>
    <mergeCell ref="A3:D3"/>
    <mergeCell ref="A5:D5"/>
    <mergeCell ref="C7:D7"/>
    <mergeCell ref="C8:D8"/>
    <mergeCell ref="C9:D9"/>
    <mergeCell ref="C10:D10"/>
    <mergeCell ref="C12:D12"/>
    <mergeCell ref="C13:D13"/>
    <mergeCell ref="C14:D14"/>
    <mergeCell ref="C15:D15"/>
    <mergeCell ref="C16:D16"/>
    <mergeCell ref="C17:D17"/>
    <mergeCell ref="C18:D18"/>
    <mergeCell ref="A20:D20"/>
    <mergeCell ref="B22:C22"/>
    <mergeCell ref="B23:C23"/>
    <mergeCell ref="B24:C24"/>
    <mergeCell ref="B25:C25"/>
    <mergeCell ref="B26:C26"/>
    <mergeCell ref="B27:C27"/>
    <mergeCell ref="B28:C28"/>
    <mergeCell ref="A29:C29"/>
    <mergeCell ref="A32:D32"/>
    <mergeCell ref="A34:D34"/>
    <mergeCell ref="B36:C36"/>
    <mergeCell ref="B37:C37"/>
    <mergeCell ref="B38:C38"/>
    <mergeCell ref="A39:C39"/>
    <mergeCell ref="A42:C42"/>
    <mergeCell ref="A44:D44"/>
    <mergeCell ref="A55:B55"/>
    <mergeCell ref="A58:D58"/>
    <mergeCell ref="B63:C63"/>
    <mergeCell ref="B64:C64"/>
    <mergeCell ref="B65:C65"/>
    <mergeCell ref="B66:C66"/>
    <mergeCell ref="A67:C67"/>
    <mergeCell ref="A70:D70"/>
    <mergeCell ref="B72:C72"/>
    <mergeCell ref="B73:C73"/>
    <mergeCell ref="B74:C74"/>
    <mergeCell ref="B75:C75"/>
    <mergeCell ref="A76:C76"/>
    <mergeCell ref="A79:D79"/>
    <mergeCell ref="A88:B88"/>
    <mergeCell ref="A91:D91"/>
    <mergeCell ref="A94:D94"/>
    <mergeCell ref="A103:B103"/>
    <mergeCell ref="A105:B105"/>
    <mergeCell ref="A108:D108"/>
    <mergeCell ref="A112:B112"/>
    <mergeCell ref="A115:D115"/>
    <mergeCell ref="B117:C117"/>
    <mergeCell ref="B118:C118"/>
    <mergeCell ref="B119:C119"/>
    <mergeCell ref="A120:C120"/>
    <mergeCell ref="A123:D123"/>
    <mergeCell ref="B125:C125"/>
    <mergeCell ref="B126:C126"/>
    <mergeCell ref="B127:C127"/>
    <mergeCell ref="A128:C128"/>
    <mergeCell ref="A131:D131"/>
    <mergeCell ref="A140:B140"/>
    <mergeCell ref="A143:D143"/>
    <mergeCell ref="B145:C145"/>
    <mergeCell ref="B146:C146"/>
    <mergeCell ref="B147:C147"/>
    <mergeCell ref="B148:C148"/>
    <mergeCell ref="B149:C149"/>
    <mergeCell ref="B150:C150"/>
    <mergeCell ref="A151:C151"/>
    <mergeCell ref="B152:C152"/>
    <mergeCell ref="A153:C153"/>
  </mergeCells>
  <printOptions horizontalCentered="1"/>
  <pageMargins left="0.51180555555555596" right="0.51180555555555596" top="1.1027777777777801" bottom="0.78749999999999998" header="0.78749999999999998" footer="0.511811023622047"/>
  <pageSetup paperSize="9" scale="79" fitToHeight="0" orientation="portrait" horizontalDpi="300" verticalDpi="300" r:id="rId1"/>
  <headerFooter>
    <oddHeader>&amp;C&amp;"Times New Roman,Normal"&amp;12&amp;F - &amp;A - Pág. &amp;P/&amp;N</oddHead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154"/>
  <sheetViews>
    <sheetView showGridLines="0" topLeftCell="A55" zoomScaleNormal="100" workbookViewId="0">
      <selection activeCell="D66" sqref="D66"/>
    </sheetView>
  </sheetViews>
  <sheetFormatPr defaultColWidth="9.140625" defaultRowHeight="15.75" x14ac:dyDescent="0.25"/>
  <cols>
    <col min="1" max="1" width="9.140625" style="30"/>
    <col min="2" max="2" width="73.42578125" style="30" customWidth="1"/>
    <col min="3" max="4" width="16.85546875" style="30" customWidth="1"/>
    <col min="5" max="5" width="12.7109375" style="30" customWidth="1"/>
    <col min="6" max="6" width="12" style="30" customWidth="1"/>
    <col min="7" max="7" width="15.140625" style="30" customWidth="1"/>
    <col min="8" max="1024" width="9.140625" style="30"/>
  </cols>
  <sheetData>
    <row r="1" spans="1:6" x14ac:dyDescent="0.25">
      <c r="A1" s="160" t="s">
        <v>0</v>
      </c>
      <c r="B1" s="160"/>
      <c r="C1" s="160"/>
      <c r="D1" s="160"/>
    </row>
    <row r="2" spans="1:6" x14ac:dyDescent="0.25">
      <c r="A2" s="160" t="s">
        <v>1</v>
      </c>
      <c r="B2" s="160"/>
      <c r="C2" s="160"/>
      <c r="D2" s="160"/>
    </row>
    <row r="3" spans="1:6" x14ac:dyDescent="0.25">
      <c r="A3" s="177" t="s">
        <v>2</v>
      </c>
      <c r="B3" s="177"/>
      <c r="C3" s="177"/>
      <c r="D3" s="177"/>
    </row>
    <row r="4" spans="1:6" x14ac:dyDescent="0.25">
      <c r="A4" s="31"/>
      <c r="B4" s="31"/>
      <c r="C4" s="31"/>
      <c r="D4" s="31"/>
    </row>
    <row r="5" spans="1:6" ht="24.75" customHeight="1" x14ac:dyDescent="0.25">
      <c r="A5" s="178" t="s">
        <v>3</v>
      </c>
      <c r="B5" s="178"/>
      <c r="C5" s="178"/>
      <c r="D5" s="178"/>
    </row>
    <row r="6" spans="1:6" x14ac:dyDescent="0.25">
      <c r="A6" s="31"/>
      <c r="B6" s="31"/>
      <c r="C6" s="31"/>
      <c r="D6" s="31"/>
    </row>
    <row r="7" spans="1:6" ht="15.75" customHeight="1" x14ac:dyDescent="0.25">
      <c r="A7" s="32" t="s">
        <v>23</v>
      </c>
      <c r="B7" s="33" t="s">
        <v>24</v>
      </c>
      <c r="C7" s="175"/>
      <c r="D7" s="175"/>
    </row>
    <row r="8" spans="1:6" x14ac:dyDescent="0.25">
      <c r="A8" s="32" t="s">
        <v>25</v>
      </c>
      <c r="B8" s="33" t="s">
        <v>26</v>
      </c>
      <c r="C8" s="175"/>
      <c r="D8" s="175"/>
    </row>
    <row r="9" spans="1:6" x14ac:dyDescent="0.25">
      <c r="A9" s="32" t="s">
        <v>27</v>
      </c>
      <c r="B9" s="33" t="s">
        <v>28</v>
      </c>
      <c r="C9" s="175"/>
      <c r="D9" s="175"/>
    </row>
    <row r="10" spans="1:6" x14ac:dyDescent="0.25">
      <c r="A10" s="32" t="s">
        <v>29</v>
      </c>
      <c r="B10" s="33" t="s">
        <v>30</v>
      </c>
      <c r="C10" s="175"/>
      <c r="D10" s="175"/>
    </row>
    <row r="11" spans="1:6" x14ac:dyDescent="0.25">
      <c r="A11" s="34"/>
      <c r="B11" s="35"/>
      <c r="C11" s="34"/>
      <c r="D11" s="34"/>
      <c r="E11" s="34"/>
      <c r="F11" s="34"/>
    </row>
    <row r="12" spans="1:6" ht="15.75" customHeight="1" x14ac:dyDescent="0.25">
      <c r="A12" s="34"/>
      <c r="B12" s="33" t="s">
        <v>31</v>
      </c>
      <c r="C12" s="175" t="s">
        <v>128</v>
      </c>
      <c r="D12" s="175"/>
      <c r="E12" s="34"/>
      <c r="F12" s="34"/>
    </row>
    <row r="13" spans="1:6" ht="15.75" customHeight="1" x14ac:dyDescent="0.25">
      <c r="A13" s="34"/>
      <c r="B13" s="33" t="s">
        <v>33</v>
      </c>
      <c r="C13" s="176" t="s">
        <v>129</v>
      </c>
      <c r="D13" s="176"/>
      <c r="E13" s="34"/>
      <c r="F13" s="34"/>
    </row>
    <row r="14" spans="1:6" x14ac:dyDescent="0.25">
      <c r="A14" s="34"/>
      <c r="B14" s="33" t="s">
        <v>130</v>
      </c>
      <c r="C14" s="172">
        <f>10.47*220</f>
        <v>2303.4</v>
      </c>
      <c r="D14" s="172"/>
      <c r="E14" s="34"/>
      <c r="F14" s="34"/>
    </row>
    <row r="15" spans="1:6" ht="15.75" customHeight="1" x14ac:dyDescent="0.25">
      <c r="A15" s="34"/>
      <c r="B15" s="33" t="s">
        <v>36</v>
      </c>
      <c r="C15" s="173" t="s">
        <v>144</v>
      </c>
      <c r="D15" s="173"/>
      <c r="E15" s="34"/>
      <c r="F15" s="34"/>
    </row>
    <row r="16" spans="1:6" x14ac:dyDescent="0.25">
      <c r="A16" s="34"/>
      <c r="B16" s="33" t="s">
        <v>38</v>
      </c>
      <c r="C16" s="174">
        <v>44713</v>
      </c>
      <c r="D16" s="174"/>
      <c r="E16" s="34"/>
      <c r="F16" s="34"/>
    </row>
    <row r="17" spans="1:6" ht="15.75" customHeight="1" x14ac:dyDescent="0.25">
      <c r="A17" s="34"/>
      <c r="B17" s="33" t="s">
        <v>39</v>
      </c>
      <c r="C17" s="175" t="s">
        <v>14</v>
      </c>
      <c r="D17" s="175"/>
      <c r="E17" s="34"/>
      <c r="F17" s="34"/>
    </row>
    <row r="18" spans="1:6" x14ac:dyDescent="0.25">
      <c r="A18" s="34"/>
      <c r="B18" s="33" t="s">
        <v>40</v>
      </c>
      <c r="C18" s="175">
        <v>1</v>
      </c>
      <c r="D18" s="175"/>
      <c r="E18" s="34"/>
      <c r="F18" s="34"/>
    </row>
    <row r="20" spans="1:6" x14ac:dyDescent="0.25">
      <c r="A20" s="165" t="s">
        <v>41</v>
      </c>
      <c r="B20" s="165"/>
      <c r="C20" s="165"/>
      <c r="D20" s="165"/>
    </row>
    <row r="22" spans="1:6" ht="15.75" customHeight="1" x14ac:dyDescent="0.25">
      <c r="A22" s="36">
        <v>1</v>
      </c>
      <c r="B22" s="164" t="s">
        <v>42</v>
      </c>
      <c r="C22" s="164"/>
      <c r="D22" s="36" t="s">
        <v>43</v>
      </c>
    </row>
    <row r="23" spans="1:6" ht="15.75" customHeight="1" x14ac:dyDescent="0.25">
      <c r="A23" s="37" t="s">
        <v>23</v>
      </c>
      <c r="B23" s="163" t="s">
        <v>44</v>
      </c>
      <c r="C23" s="163"/>
      <c r="D23" s="39">
        <f>C14</f>
        <v>2303.4</v>
      </c>
    </row>
    <row r="24" spans="1:6" ht="15.75" customHeight="1" x14ac:dyDescent="0.25">
      <c r="A24" s="37" t="s">
        <v>25</v>
      </c>
      <c r="B24" s="163" t="s">
        <v>45</v>
      </c>
      <c r="C24" s="163"/>
      <c r="D24" s="39">
        <v>0</v>
      </c>
    </row>
    <row r="25" spans="1:6" ht="15.75" customHeight="1" x14ac:dyDescent="0.25">
      <c r="A25" s="37" t="s">
        <v>27</v>
      </c>
      <c r="B25" s="163" t="s">
        <v>46</v>
      </c>
      <c r="C25" s="163"/>
      <c r="D25" s="39">
        <v>0</v>
      </c>
    </row>
    <row r="26" spans="1:6" ht="15.75" customHeight="1" x14ac:dyDescent="0.25">
      <c r="A26" s="37" t="s">
        <v>29</v>
      </c>
      <c r="B26" s="163" t="s">
        <v>47</v>
      </c>
      <c r="C26" s="163"/>
      <c r="D26" s="39">
        <v>0</v>
      </c>
    </row>
    <row r="27" spans="1:6" ht="15.75" customHeight="1" x14ac:dyDescent="0.25">
      <c r="A27" s="37" t="s">
        <v>48</v>
      </c>
      <c r="B27" s="163" t="s">
        <v>49</v>
      </c>
      <c r="C27" s="163"/>
      <c r="D27" s="39">
        <v>0</v>
      </c>
    </row>
    <row r="28" spans="1:6" ht="15.75" customHeight="1" x14ac:dyDescent="0.25">
      <c r="A28" s="37" t="s">
        <v>50</v>
      </c>
      <c r="B28" s="163" t="s">
        <v>51</v>
      </c>
      <c r="C28" s="163"/>
      <c r="D28" s="39">
        <v>0</v>
      </c>
    </row>
    <row r="29" spans="1:6" ht="15.75" customHeight="1" x14ac:dyDescent="0.25">
      <c r="A29" s="164" t="s">
        <v>52</v>
      </c>
      <c r="B29" s="164"/>
      <c r="C29" s="164"/>
      <c r="D29" s="40">
        <f>SUM(D23:D28)</f>
        <v>2303.4</v>
      </c>
      <c r="E29" s="41"/>
    </row>
    <row r="32" spans="1:6" x14ac:dyDescent="0.25">
      <c r="A32" s="165" t="s">
        <v>53</v>
      </c>
      <c r="B32" s="165"/>
      <c r="C32" s="165"/>
      <c r="D32" s="165"/>
    </row>
    <row r="33" spans="1:6" x14ac:dyDescent="0.25">
      <c r="A33" s="42"/>
    </row>
    <row r="34" spans="1:6" x14ac:dyDescent="0.25">
      <c r="A34" s="166" t="s">
        <v>54</v>
      </c>
      <c r="B34" s="166"/>
      <c r="C34" s="166"/>
      <c r="D34" s="166"/>
    </row>
    <row r="36" spans="1:6" ht="15.75" customHeight="1" x14ac:dyDescent="0.25">
      <c r="A36" s="36" t="s">
        <v>55</v>
      </c>
      <c r="B36" s="164" t="s">
        <v>56</v>
      </c>
      <c r="C36" s="164"/>
      <c r="D36" s="36" t="s">
        <v>43</v>
      </c>
    </row>
    <row r="37" spans="1:6" ht="15.75" customHeight="1" x14ac:dyDescent="0.25">
      <c r="A37" s="37" t="s">
        <v>23</v>
      </c>
      <c r="B37" s="163" t="s">
        <v>57</v>
      </c>
      <c r="C37" s="163"/>
      <c r="D37" s="39">
        <f>D29/12</f>
        <v>191.95000000000002</v>
      </c>
    </row>
    <row r="38" spans="1:6" ht="15.75" customHeight="1" x14ac:dyDescent="0.25">
      <c r="A38" s="149" t="s">
        <v>25</v>
      </c>
      <c r="B38" s="171" t="s">
        <v>261</v>
      </c>
      <c r="C38" s="171"/>
      <c r="D38" s="150">
        <f>((D29/3)/12)</f>
        <v>63.983333333333341</v>
      </c>
    </row>
    <row r="39" spans="1:6" ht="15.75" customHeight="1" x14ac:dyDescent="0.25">
      <c r="A39" s="164" t="s">
        <v>52</v>
      </c>
      <c r="B39" s="164"/>
      <c r="C39" s="164"/>
      <c r="D39" s="40">
        <f>SUM(D37:D38)</f>
        <v>255.93333333333337</v>
      </c>
      <c r="F39" s="43"/>
    </row>
    <row r="40" spans="1:6" ht="15.75" customHeight="1" x14ac:dyDescent="0.25">
      <c r="A40" s="44"/>
      <c r="B40" s="44"/>
      <c r="C40" s="44"/>
      <c r="D40" s="45"/>
      <c r="F40" s="43"/>
    </row>
    <row r="41" spans="1:6" ht="15.75" customHeight="1" x14ac:dyDescent="0.25">
      <c r="F41" s="43"/>
    </row>
    <row r="42" spans="1:6" x14ac:dyDescent="0.25">
      <c r="A42" s="168" t="s">
        <v>58</v>
      </c>
      <c r="B42" s="168"/>
      <c r="C42" s="168"/>
      <c r="D42" s="40">
        <f>D29+D39</f>
        <v>2559.3333333333335</v>
      </c>
    </row>
    <row r="44" spans="1:6" ht="15.75" customHeight="1" x14ac:dyDescent="0.25">
      <c r="A44" s="169" t="s">
        <v>59</v>
      </c>
      <c r="B44" s="169"/>
      <c r="C44" s="169"/>
      <c r="D44" s="169"/>
    </row>
    <row r="46" spans="1:6" x14ac:dyDescent="0.25">
      <c r="A46" s="36" t="s">
        <v>60</v>
      </c>
      <c r="B46" s="36" t="s">
        <v>61</v>
      </c>
      <c r="C46" s="36" t="s">
        <v>62</v>
      </c>
      <c r="D46" s="36" t="s">
        <v>43</v>
      </c>
    </row>
    <row r="47" spans="1:6" x14ac:dyDescent="0.25">
      <c r="A47" s="37" t="s">
        <v>23</v>
      </c>
      <c r="B47" s="46" t="s">
        <v>63</v>
      </c>
      <c r="C47" s="63">
        <v>0.2</v>
      </c>
      <c r="D47" s="48">
        <f>C47*D42</f>
        <v>511.86666666666673</v>
      </c>
    </row>
    <row r="48" spans="1:6" x14ac:dyDescent="0.25">
      <c r="A48" s="37" t="s">
        <v>25</v>
      </c>
      <c r="B48" s="46" t="s">
        <v>64</v>
      </c>
      <c r="C48" s="63">
        <v>2.5000000000000001E-2</v>
      </c>
      <c r="D48" s="48">
        <f>C48*D42</f>
        <v>63.983333333333341</v>
      </c>
    </row>
    <row r="49" spans="1:4" x14ac:dyDescent="0.25">
      <c r="A49" s="37" t="s">
        <v>27</v>
      </c>
      <c r="B49" s="46" t="s">
        <v>65</v>
      </c>
      <c r="C49" s="63">
        <f>3%*2</f>
        <v>0.06</v>
      </c>
      <c r="D49" s="48">
        <f>C49*D42</f>
        <v>153.56</v>
      </c>
    </row>
    <row r="50" spans="1:4" x14ac:dyDescent="0.25">
      <c r="A50" s="37" t="s">
        <v>29</v>
      </c>
      <c r="B50" s="46" t="s">
        <v>66</v>
      </c>
      <c r="C50" s="63">
        <v>1.4999999999999999E-2</v>
      </c>
      <c r="D50" s="48">
        <f>C50*D42</f>
        <v>38.39</v>
      </c>
    </row>
    <row r="51" spans="1:4" x14ac:dyDescent="0.25">
      <c r="A51" s="37" t="s">
        <v>48</v>
      </c>
      <c r="B51" s="46" t="s">
        <v>67</v>
      </c>
      <c r="C51" s="63">
        <v>0.01</v>
      </c>
      <c r="D51" s="48">
        <f>C51*D42</f>
        <v>25.593333333333334</v>
      </c>
    </row>
    <row r="52" spans="1:4" x14ac:dyDescent="0.25">
      <c r="A52" s="37" t="s">
        <v>50</v>
      </c>
      <c r="B52" s="46" t="s">
        <v>68</v>
      </c>
      <c r="C52" s="63">
        <v>6.0000000000000001E-3</v>
      </c>
      <c r="D52" s="48">
        <f>C52*D42</f>
        <v>15.356000000000002</v>
      </c>
    </row>
    <row r="53" spans="1:4" x14ac:dyDescent="0.25">
      <c r="A53" s="37" t="s">
        <v>69</v>
      </c>
      <c r="B53" s="46" t="s">
        <v>70</v>
      </c>
      <c r="C53" s="63">
        <v>2E-3</v>
      </c>
      <c r="D53" s="48">
        <f>C53*D42</f>
        <v>5.1186666666666669</v>
      </c>
    </row>
    <row r="54" spans="1:4" x14ac:dyDescent="0.25">
      <c r="A54" s="37" t="s">
        <v>71</v>
      </c>
      <c r="B54" s="46" t="s">
        <v>72</v>
      </c>
      <c r="C54" s="63">
        <v>0.08</v>
      </c>
      <c r="D54" s="48">
        <f>C54*D42</f>
        <v>204.74666666666667</v>
      </c>
    </row>
    <row r="55" spans="1:4" ht="15.75" customHeight="1" x14ac:dyDescent="0.25">
      <c r="A55" s="164" t="s">
        <v>73</v>
      </c>
      <c r="B55" s="164"/>
      <c r="C55" s="49">
        <f>SUM(C47:C54)</f>
        <v>0.39800000000000008</v>
      </c>
      <c r="D55" s="50">
        <f>SUM(D47:D54)</f>
        <v>1018.6146666666667</v>
      </c>
    </row>
    <row r="58" spans="1:4" x14ac:dyDescent="0.25">
      <c r="A58" s="166" t="s">
        <v>74</v>
      </c>
      <c r="B58" s="166"/>
      <c r="C58" s="166"/>
      <c r="D58" s="166"/>
    </row>
    <row r="60" spans="1:4" x14ac:dyDescent="0.25">
      <c r="A60" s="36" t="s">
        <v>75</v>
      </c>
      <c r="B60" s="51" t="s">
        <v>76</v>
      </c>
      <c r="C60" s="36" t="s">
        <v>43</v>
      </c>
      <c r="D60" s="36" t="s">
        <v>43</v>
      </c>
    </row>
    <row r="61" spans="1:4" x14ac:dyDescent="0.25">
      <c r="A61" s="37" t="s">
        <v>23</v>
      </c>
      <c r="B61" s="38" t="s">
        <v>77</v>
      </c>
      <c r="C61" s="78">
        <v>4</v>
      </c>
      <c r="D61" s="64">
        <f>IF(((C61*44)-(D23*6%))&gt;0,((C61*44)-(D23*6%)),0)</f>
        <v>37.795999999999992</v>
      </c>
    </row>
    <row r="62" spans="1:4" x14ac:dyDescent="0.25">
      <c r="A62" s="37" t="s">
        <v>25</v>
      </c>
      <c r="B62" s="46" t="s">
        <v>145</v>
      </c>
      <c r="C62" s="53">
        <v>745</v>
      </c>
      <c r="D62" s="48">
        <f>C62</f>
        <v>745</v>
      </c>
    </row>
    <row r="63" spans="1:4" ht="15.75" customHeight="1" x14ac:dyDescent="0.25">
      <c r="A63" s="37" t="s">
        <v>27</v>
      </c>
      <c r="B63" s="46" t="s">
        <v>146</v>
      </c>
      <c r="C63" s="53">
        <f>C62/12</f>
        <v>62.083333333333336</v>
      </c>
      <c r="D63" s="48">
        <f>C63</f>
        <v>62.083333333333336</v>
      </c>
    </row>
    <row r="64" spans="1:4" ht="15.75" customHeight="1" x14ac:dyDescent="0.25">
      <c r="A64" s="37" t="s">
        <v>29</v>
      </c>
      <c r="B64" s="46" t="s">
        <v>147</v>
      </c>
      <c r="C64" s="77">
        <v>0.05</v>
      </c>
      <c r="D64" s="48">
        <f>C64*D23</f>
        <v>115.17000000000002</v>
      </c>
    </row>
    <row r="65" spans="1:4" ht="15.75" customHeight="1" x14ac:dyDescent="0.25">
      <c r="A65" s="37" t="s">
        <v>48</v>
      </c>
      <c r="B65" s="46" t="s">
        <v>148</v>
      </c>
      <c r="C65" s="53">
        <v>5.7</v>
      </c>
      <c r="D65" s="48">
        <f>C65*22</f>
        <v>125.4</v>
      </c>
    </row>
    <row r="66" spans="1:4" ht="15.75" customHeight="1" x14ac:dyDescent="0.25">
      <c r="A66" s="37" t="s">
        <v>50</v>
      </c>
      <c r="B66" s="46" t="s">
        <v>149</v>
      </c>
      <c r="C66" s="53">
        <v>80</v>
      </c>
      <c r="D66" s="48">
        <f>C66/12</f>
        <v>6.666666666666667</v>
      </c>
    </row>
    <row r="67" spans="1:4" ht="15.75" customHeight="1" x14ac:dyDescent="0.25">
      <c r="A67" s="37" t="s">
        <v>69</v>
      </c>
      <c r="B67" s="46" t="s">
        <v>136</v>
      </c>
      <c r="C67" s="75">
        <v>51500</v>
      </c>
      <c r="D67" s="48">
        <f>C67*0.012%</f>
        <v>6.18</v>
      </c>
    </row>
    <row r="68" spans="1:4" ht="15.75" customHeight="1" x14ac:dyDescent="0.25">
      <c r="A68" s="164" t="s">
        <v>52</v>
      </c>
      <c r="B68" s="164"/>
      <c r="C68" s="164"/>
      <c r="D68" s="54">
        <f>SUM(D61:D67)</f>
        <v>1098.2960000000003</v>
      </c>
    </row>
    <row r="71" spans="1:4" x14ac:dyDescent="0.25">
      <c r="A71" s="166" t="s">
        <v>83</v>
      </c>
      <c r="B71" s="166"/>
      <c r="C71" s="166"/>
      <c r="D71" s="166"/>
    </row>
    <row r="73" spans="1:4" ht="15.75" customHeight="1" x14ac:dyDescent="0.25">
      <c r="A73" s="36">
        <v>2</v>
      </c>
      <c r="B73" s="164" t="s">
        <v>84</v>
      </c>
      <c r="C73" s="164"/>
      <c r="D73" s="36" t="s">
        <v>43</v>
      </c>
    </row>
    <row r="74" spans="1:4" ht="15.75" customHeight="1" x14ac:dyDescent="0.25">
      <c r="A74" s="37" t="s">
        <v>55</v>
      </c>
      <c r="B74" s="163" t="s">
        <v>262</v>
      </c>
      <c r="C74" s="163"/>
      <c r="D74" s="48">
        <f>D39</f>
        <v>255.93333333333337</v>
      </c>
    </row>
    <row r="75" spans="1:4" ht="15.75" customHeight="1" x14ac:dyDescent="0.25">
      <c r="A75" s="37" t="s">
        <v>60</v>
      </c>
      <c r="B75" s="163" t="s">
        <v>61</v>
      </c>
      <c r="C75" s="163"/>
      <c r="D75" s="48">
        <f>D55</f>
        <v>1018.6146666666667</v>
      </c>
    </row>
    <row r="76" spans="1:4" ht="15.75" customHeight="1" x14ac:dyDescent="0.25">
      <c r="A76" s="37" t="s">
        <v>75</v>
      </c>
      <c r="B76" s="163" t="s">
        <v>76</v>
      </c>
      <c r="C76" s="163"/>
      <c r="D76" s="48">
        <f>D68</f>
        <v>1098.2960000000003</v>
      </c>
    </row>
    <row r="77" spans="1:4" ht="15.75" customHeight="1" x14ac:dyDescent="0.25">
      <c r="A77" s="164" t="s">
        <v>52</v>
      </c>
      <c r="B77" s="164"/>
      <c r="C77" s="164"/>
      <c r="D77" s="54">
        <f>SUM(D74:D76)</f>
        <v>2372.8440000000001</v>
      </c>
    </row>
    <row r="78" spans="1:4" x14ac:dyDescent="0.25">
      <c r="A78" s="55"/>
    </row>
    <row r="80" spans="1:4" x14ac:dyDescent="0.25">
      <c r="A80" s="165" t="s">
        <v>85</v>
      </c>
      <c r="B80" s="165"/>
      <c r="C80" s="165"/>
      <c r="D80" s="165"/>
    </row>
    <row r="82" spans="1:6" x14ac:dyDescent="0.25">
      <c r="A82" s="36">
        <v>3</v>
      </c>
      <c r="B82" s="56" t="s">
        <v>86</v>
      </c>
      <c r="C82" s="36" t="s">
        <v>62</v>
      </c>
      <c r="D82" s="36" t="s">
        <v>43</v>
      </c>
    </row>
    <row r="83" spans="1:6" x14ac:dyDescent="0.25">
      <c r="A83" s="37" t="s">
        <v>23</v>
      </c>
      <c r="B83" s="57" t="s">
        <v>87</v>
      </c>
      <c r="C83" s="47">
        <f>0.05*(1/12)</f>
        <v>4.1666666666666666E-3</v>
      </c>
      <c r="D83" s="48">
        <f>C83*D29</f>
        <v>9.5975000000000001</v>
      </c>
    </row>
    <row r="84" spans="1:6" x14ac:dyDescent="0.25">
      <c r="A84" s="37" t="s">
        <v>25</v>
      </c>
      <c r="B84" s="57" t="s">
        <v>88</v>
      </c>
      <c r="C84" s="47">
        <f>C83*C54</f>
        <v>3.3333333333333332E-4</v>
      </c>
      <c r="D84" s="48">
        <f>C84*D29</f>
        <v>0.76780000000000004</v>
      </c>
    </row>
    <row r="85" spans="1:6" x14ac:dyDescent="0.25">
      <c r="A85" s="37" t="s">
        <v>27</v>
      </c>
      <c r="B85" s="57" t="s">
        <v>89</v>
      </c>
      <c r="C85" s="47">
        <f>0.08*0.4*0.9*(1+2/12+(1/3*1/12))</f>
        <v>3.44E-2</v>
      </c>
      <c r="D85" s="48">
        <f>C85*D29</f>
        <v>79.236959999999996</v>
      </c>
    </row>
    <row r="86" spans="1:6" x14ac:dyDescent="0.25">
      <c r="A86" s="37" t="s">
        <v>29</v>
      </c>
      <c r="B86" s="57" t="s">
        <v>90</v>
      </c>
      <c r="C86" s="58">
        <f>(7/30)/12</f>
        <v>1.9444444444444445E-2</v>
      </c>
      <c r="D86" s="48">
        <f>C86*D29</f>
        <v>44.788333333333334</v>
      </c>
    </row>
    <row r="87" spans="1:6" x14ac:dyDescent="0.25">
      <c r="A87" s="37" t="s">
        <v>48</v>
      </c>
      <c r="B87" s="57" t="s">
        <v>91</v>
      </c>
      <c r="C87" s="58">
        <f>C86*C55</f>
        <v>7.7388888888888906E-3</v>
      </c>
      <c r="D87" s="48">
        <f>C87*D29</f>
        <v>17.82575666666667</v>
      </c>
      <c r="F87" s="60"/>
    </row>
    <row r="88" spans="1:6" x14ac:dyDescent="0.25">
      <c r="A88" s="37" t="s">
        <v>50</v>
      </c>
      <c r="B88" s="57" t="s">
        <v>92</v>
      </c>
      <c r="C88" s="58">
        <f>C86*0.08*0.4</f>
        <v>6.2222222222222236E-4</v>
      </c>
      <c r="D88" s="48">
        <f>C88*D29</f>
        <v>1.4332266666666671</v>
      </c>
    </row>
    <row r="89" spans="1:6" ht="15.75" customHeight="1" x14ac:dyDescent="0.25">
      <c r="A89" s="167" t="s">
        <v>52</v>
      </c>
      <c r="B89" s="167"/>
      <c r="C89" s="49">
        <f>SUM(C83:C88)</f>
        <v>6.6705555555555546E-2</v>
      </c>
      <c r="D89" s="40">
        <f>SUM(D83:D88)</f>
        <v>153.64957666666666</v>
      </c>
    </row>
    <row r="92" spans="1:6" x14ac:dyDescent="0.25">
      <c r="A92" s="165" t="s">
        <v>93</v>
      </c>
      <c r="B92" s="165"/>
      <c r="C92" s="165"/>
      <c r="D92" s="165"/>
    </row>
    <row r="95" spans="1:6" x14ac:dyDescent="0.25">
      <c r="A95" s="166" t="s">
        <v>94</v>
      </c>
      <c r="B95" s="166"/>
      <c r="C95" s="166"/>
      <c r="D95" s="166"/>
    </row>
    <row r="96" spans="1:6" x14ac:dyDescent="0.25">
      <c r="A96" s="42"/>
    </row>
    <row r="97" spans="1:5" x14ac:dyDescent="0.25">
      <c r="A97" s="36" t="s">
        <v>95</v>
      </c>
      <c r="B97" s="61" t="s">
        <v>96</v>
      </c>
      <c r="C97" s="36" t="s">
        <v>62</v>
      </c>
      <c r="D97" s="36" t="s">
        <v>43</v>
      </c>
    </row>
    <row r="98" spans="1:5" x14ac:dyDescent="0.25">
      <c r="A98" s="37" t="s">
        <v>23</v>
      </c>
      <c r="B98" s="57" t="s">
        <v>97</v>
      </c>
      <c r="C98" s="47">
        <f>1/12</f>
        <v>8.3333333333333329E-2</v>
      </c>
      <c r="D98" s="48">
        <f>C98*D29</f>
        <v>191.95</v>
      </c>
    </row>
    <row r="99" spans="1:5" x14ac:dyDescent="0.25">
      <c r="A99" s="37" t="s">
        <v>25</v>
      </c>
      <c r="B99" s="57" t="s">
        <v>98</v>
      </c>
      <c r="C99" s="47">
        <f>1/30/12</f>
        <v>2.7777777777777779E-3</v>
      </c>
      <c r="D99" s="48">
        <f>C99*D29</f>
        <v>6.3983333333333334</v>
      </c>
    </row>
    <row r="100" spans="1:5" x14ac:dyDescent="0.25">
      <c r="A100" s="37" t="s">
        <v>27</v>
      </c>
      <c r="B100" s="57" t="s">
        <v>99</v>
      </c>
      <c r="C100" s="47">
        <f>(5/30/12)*0.015</f>
        <v>2.0833333333333332E-4</v>
      </c>
      <c r="D100" s="48">
        <f>C100*D29</f>
        <v>0.479875</v>
      </c>
      <c r="E100" s="60"/>
    </row>
    <row r="101" spans="1:5" x14ac:dyDescent="0.25">
      <c r="A101" s="37" t="s">
        <v>29</v>
      </c>
      <c r="B101" s="57" t="s">
        <v>100</v>
      </c>
      <c r="C101" s="47">
        <f>(1/12)*0.0178</f>
        <v>1.4833333333333332E-3</v>
      </c>
      <c r="D101" s="48">
        <f>C101*D29</f>
        <v>3.4167100000000001</v>
      </c>
    </row>
    <row r="102" spans="1:5" x14ac:dyDescent="0.25">
      <c r="A102" s="37" t="s">
        <v>48</v>
      </c>
      <c r="B102" s="57" t="s">
        <v>101</v>
      </c>
      <c r="C102" s="47">
        <f>11.11%*5.28%*50%</f>
        <v>2.9330399999999996E-3</v>
      </c>
      <c r="D102" s="48">
        <f>C102*D29</f>
        <v>6.755964335999999</v>
      </c>
    </row>
    <row r="103" spans="1:5" x14ac:dyDescent="0.25">
      <c r="A103" s="37" t="s">
        <v>50</v>
      </c>
      <c r="B103" s="57" t="s">
        <v>102</v>
      </c>
      <c r="C103" s="47">
        <f>5/30/12</f>
        <v>1.3888888888888888E-2</v>
      </c>
      <c r="D103" s="48">
        <f>C103*D29</f>
        <v>31.991666666666667</v>
      </c>
    </row>
    <row r="104" spans="1:5" ht="15.75" customHeight="1" x14ac:dyDescent="0.25">
      <c r="A104" s="164" t="s">
        <v>103</v>
      </c>
      <c r="B104" s="164"/>
      <c r="C104" s="49">
        <f>SUM(C98:C103)</f>
        <v>0.10462470666666668</v>
      </c>
      <c r="D104" s="54">
        <f>SUM(D98:D103)</f>
        <v>240.992549336</v>
      </c>
    </row>
    <row r="105" spans="1:5" x14ac:dyDescent="0.25">
      <c r="A105" s="26" t="s">
        <v>69</v>
      </c>
      <c r="B105" s="62" t="s">
        <v>104</v>
      </c>
      <c r="C105" s="63">
        <f>C104*C55</f>
        <v>4.1640633253333344E-2</v>
      </c>
      <c r="D105" s="64">
        <f>C105*D29</f>
        <v>95.915034635728034</v>
      </c>
    </row>
    <row r="106" spans="1:5" ht="15.75" customHeight="1" x14ac:dyDescent="0.25">
      <c r="A106" s="164" t="s">
        <v>73</v>
      </c>
      <c r="B106" s="164"/>
      <c r="C106" s="49">
        <f>SUM(C104:C105)</f>
        <v>0.14626533992000001</v>
      </c>
      <c r="D106" s="40">
        <f>SUM(D104:D105)</f>
        <v>336.90758397172806</v>
      </c>
    </row>
    <row r="109" spans="1:5" x14ac:dyDescent="0.25">
      <c r="A109" s="166" t="s">
        <v>105</v>
      </c>
      <c r="B109" s="166"/>
      <c r="C109" s="166"/>
      <c r="D109" s="166"/>
    </row>
    <row r="110" spans="1:5" x14ac:dyDescent="0.25">
      <c r="A110" s="42"/>
    </row>
    <row r="111" spans="1:5" x14ac:dyDescent="0.25">
      <c r="A111" s="36" t="s">
        <v>106</v>
      </c>
      <c r="B111" s="61" t="s">
        <v>107</v>
      </c>
      <c r="C111" s="36" t="s">
        <v>62</v>
      </c>
      <c r="D111" s="36" t="s">
        <v>43</v>
      </c>
    </row>
    <row r="112" spans="1:5" x14ac:dyDescent="0.25">
      <c r="A112" s="37" t="s">
        <v>23</v>
      </c>
      <c r="B112" s="57" t="s">
        <v>108</v>
      </c>
      <c r="C112" s="47">
        <v>0</v>
      </c>
      <c r="D112" s="39">
        <f>C112*D29</f>
        <v>0</v>
      </c>
    </row>
    <row r="113" spans="1:4" ht="15.75" customHeight="1" x14ac:dyDescent="0.25">
      <c r="A113" s="167" t="s">
        <v>52</v>
      </c>
      <c r="B113" s="167"/>
      <c r="C113" s="49">
        <f>SUM(C112)</f>
        <v>0</v>
      </c>
      <c r="D113" s="40">
        <f>SUM(D112)</f>
        <v>0</v>
      </c>
    </row>
    <row r="116" spans="1:4" x14ac:dyDescent="0.25">
      <c r="A116" s="166" t="s">
        <v>109</v>
      </c>
      <c r="B116" s="166"/>
      <c r="C116" s="166"/>
      <c r="D116" s="166"/>
    </row>
    <row r="117" spans="1:4" x14ac:dyDescent="0.25">
      <c r="A117" s="42"/>
    </row>
    <row r="118" spans="1:4" ht="15.75" customHeight="1" x14ac:dyDescent="0.25">
      <c r="A118" s="36">
        <v>4</v>
      </c>
      <c r="B118" s="164" t="s">
        <v>110</v>
      </c>
      <c r="C118" s="164"/>
      <c r="D118" s="36" t="s">
        <v>43</v>
      </c>
    </row>
    <row r="119" spans="1:4" ht="15.75" customHeight="1" x14ac:dyDescent="0.25">
      <c r="A119" s="37" t="s">
        <v>95</v>
      </c>
      <c r="B119" s="163" t="s">
        <v>96</v>
      </c>
      <c r="C119" s="163"/>
      <c r="D119" s="39">
        <f>D106</f>
        <v>336.90758397172806</v>
      </c>
    </row>
    <row r="120" spans="1:4" ht="15.75" customHeight="1" x14ac:dyDescent="0.25">
      <c r="A120" s="37" t="s">
        <v>106</v>
      </c>
      <c r="B120" s="163" t="s">
        <v>107</v>
      </c>
      <c r="C120" s="163"/>
      <c r="D120" s="39">
        <f>D113</f>
        <v>0</v>
      </c>
    </row>
    <row r="121" spans="1:4" ht="15.75" customHeight="1" x14ac:dyDescent="0.25">
      <c r="A121" s="164" t="s">
        <v>52</v>
      </c>
      <c r="B121" s="164"/>
      <c r="C121" s="164"/>
      <c r="D121" s="40">
        <f>SUM(D119:D120)</f>
        <v>336.90758397172806</v>
      </c>
    </row>
    <row r="124" spans="1:4" x14ac:dyDescent="0.25">
      <c r="A124" s="165" t="s">
        <v>111</v>
      </c>
      <c r="B124" s="165"/>
      <c r="C124" s="165"/>
      <c r="D124" s="165"/>
    </row>
    <row r="126" spans="1:4" ht="15.75" customHeight="1" x14ac:dyDescent="0.25">
      <c r="A126" s="36">
        <v>5</v>
      </c>
      <c r="B126" s="164" t="s">
        <v>112</v>
      </c>
      <c r="C126" s="164"/>
      <c r="D126" s="36" t="s">
        <v>43</v>
      </c>
    </row>
    <row r="127" spans="1:4" ht="15.75" customHeight="1" x14ac:dyDescent="0.25">
      <c r="A127" s="37" t="s">
        <v>23</v>
      </c>
      <c r="B127" s="163" t="s">
        <v>113</v>
      </c>
      <c r="C127" s="163"/>
      <c r="D127" s="39">
        <f>Uniformes!H33</f>
        <v>93.009880952380954</v>
      </c>
    </row>
    <row r="128" spans="1:4" ht="15.75" customHeight="1" x14ac:dyDescent="0.25">
      <c r="A128" s="37" t="s">
        <v>25</v>
      </c>
      <c r="B128" s="163" t="s">
        <v>114</v>
      </c>
      <c r="C128" s="163"/>
      <c r="D128" s="65">
        <v>15</v>
      </c>
    </row>
    <row r="129" spans="1:6" ht="15.75" customHeight="1" x14ac:dyDescent="0.25">
      <c r="A129" s="164" t="s">
        <v>73</v>
      </c>
      <c r="B129" s="164"/>
      <c r="C129" s="164"/>
      <c r="D129" s="40">
        <f>SUM(D127:D128)</f>
        <v>108.00988095238095</v>
      </c>
    </row>
    <row r="132" spans="1:6" x14ac:dyDescent="0.25">
      <c r="A132" s="165" t="s">
        <v>115</v>
      </c>
      <c r="B132" s="165"/>
      <c r="C132" s="165"/>
      <c r="D132" s="165"/>
    </row>
    <row r="134" spans="1:6" x14ac:dyDescent="0.25">
      <c r="A134" s="36">
        <v>6</v>
      </c>
      <c r="B134" s="51" t="s">
        <v>116</v>
      </c>
      <c r="C134" s="36" t="s">
        <v>62</v>
      </c>
      <c r="D134" s="36" t="s">
        <v>43</v>
      </c>
    </row>
    <row r="135" spans="1:6" x14ac:dyDescent="0.25">
      <c r="A135" s="26" t="s">
        <v>23</v>
      </c>
      <c r="B135" s="66" t="s">
        <v>117</v>
      </c>
      <c r="C135" s="67">
        <v>0.06</v>
      </c>
      <c r="D135" s="68">
        <f>D152*C135</f>
        <v>316.48866249544653</v>
      </c>
      <c r="E135" s="69"/>
    </row>
    <row r="136" spans="1:6" x14ac:dyDescent="0.25">
      <c r="A136" s="37" t="s">
        <v>25</v>
      </c>
      <c r="B136" s="46" t="s">
        <v>118</v>
      </c>
      <c r="C136" s="70">
        <v>6.7900000000000002E-2</v>
      </c>
      <c r="D136" s="71">
        <f>C136*(D152+D135)</f>
        <v>379.64924990745453</v>
      </c>
    </row>
    <row r="137" spans="1:6" x14ac:dyDescent="0.25">
      <c r="A137" s="37" t="s">
        <v>27</v>
      </c>
      <c r="B137" s="46" t="s">
        <v>119</v>
      </c>
      <c r="C137" s="70">
        <f>SUM(C138:C140)</f>
        <v>7.6499999999999999E-2</v>
      </c>
      <c r="D137" s="71">
        <f>((D152+D135+D136)/(1-C137))*C137</f>
        <v>494.6156957016961</v>
      </c>
    </row>
    <row r="138" spans="1:6" x14ac:dyDescent="0.25">
      <c r="A138" s="37"/>
      <c r="B138" s="46" t="s">
        <v>120</v>
      </c>
      <c r="C138" s="72">
        <f>3.65%</f>
        <v>3.6499999999999998E-2</v>
      </c>
      <c r="D138" s="71">
        <f>((D152+D135+D136)/(1-C137))*C138</f>
        <v>235.99310971388115</v>
      </c>
    </row>
    <row r="139" spans="1:6" x14ac:dyDescent="0.25">
      <c r="A139" s="37"/>
      <c r="B139" s="46" t="s">
        <v>121</v>
      </c>
      <c r="C139" s="70">
        <v>0</v>
      </c>
      <c r="D139" s="71">
        <f>((D152+D135+D136)/(1-C137))*C139</f>
        <v>0</v>
      </c>
      <c r="F139" s="73"/>
    </row>
    <row r="140" spans="1:6" x14ac:dyDescent="0.25">
      <c r="A140" s="37"/>
      <c r="B140" s="46" t="s">
        <v>122</v>
      </c>
      <c r="C140" s="67">
        <v>0.04</v>
      </c>
      <c r="D140" s="71">
        <f>((D152+D135+D136)/(1-C137))*C140</f>
        <v>258.62258598781494</v>
      </c>
    </row>
    <row r="141" spans="1:6" ht="15.75" customHeight="1" x14ac:dyDescent="0.25">
      <c r="A141" s="164" t="s">
        <v>73</v>
      </c>
      <c r="B141" s="164"/>
      <c r="C141" s="49">
        <f>SUM(C135:C137)</f>
        <v>0.20440000000000003</v>
      </c>
      <c r="D141" s="74">
        <f>SUM(D135:D137)</f>
        <v>1190.7536081045971</v>
      </c>
    </row>
    <row r="144" spans="1:6" x14ac:dyDescent="0.25">
      <c r="A144" s="165" t="s">
        <v>123</v>
      </c>
      <c r="B144" s="165"/>
      <c r="C144" s="165"/>
      <c r="D144" s="165"/>
    </row>
    <row r="146" spans="1:4" ht="15.75" customHeight="1" x14ac:dyDescent="0.25">
      <c r="A146" s="36"/>
      <c r="B146" s="164" t="s">
        <v>124</v>
      </c>
      <c r="C146" s="164"/>
      <c r="D146" s="36" t="s">
        <v>43</v>
      </c>
    </row>
    <row r="147" spans="1:4" ht="15.75" customHeight="1" x14ac:dyDescent="0.25">
      <c r="A147" s="36" t="s">
        <v>23</v>
      </c>
      <c r="B147" s="163" t="s">
        <v>41</v>
      </c>
      <c r="C147" s="163"/>
      <c r="D147" s="39">
        <f>D29</f>
        <v>2303.4</v>
      </c>
    </row>
    <row r="148" spans="1:4" ht="15.75" customHeight="1" x14ac:dyDescent="0.25">
      <c r="A148" s="36" t="s">
        <v>25</v>
      </c>
      <c r="B148" s="163" t="s">
        <v>53</v>
      </c>
      <c r="C148" s="163"/>
      <c r="D148" s="39">
        <f>D77</f>
        <v>2372.8440000000001</v>
      </c>
    </row>
    <row r="149" spans="1:4" ht="15.75" customHeight="1" x14ac:dyDescent="0.25">
      <c r="A149" s="36" t="s">
        <v>27</v>
      </c>
      <c r="B149" s="163" t="s">
        <v>85</v>
      </c>
      <c r="C149" s="163"/>
      <c r="D149" s="39">
        <f>D89</f>
        <v>153.64957666666666</v>
      </c>
    </row>
    <row r="150" spans="1:4" ht="15.75" customHeight="1" x14ac:dyDescent="0.25">
      <c r="A150" s="36" t="s">
        <v>29</v>
      </c>
      <c r="B150" s="163" t="s">
        <v>93</v>
      </c>
      <c r="C150" s="163"/>
      <c r="D150" s="39">
        <f>D121</f>
        <v>336.90758397172806</v>
      </c>
    </row>
    <row r="151" spans="1:4" ht="15.75" customHeight="1" x14ac:dyDescent="0.25">
      <c r="A151" s="36" t="s">
        <v>48</v>
      </c>
      <c r="B151" s="163" t="s">
        <v>111</v>
      </c>
      <c r="C151" s="163"/>
      <c r="D151" s="39">
        <f>D129</f>
        <v>108.00988095238095</v>
      </c>
    </row>
    <row r="152" spans="1:4" ht="15.75" customHeight="1" x14ac:dyDescent="0.25">
      <c r="A152" s="164" t="s">
        <v>125</v>
      </c>
      <c r="B152" s="164"/>
      <c r="C152" s="164"/>
      <c r="D152" s="40">
        <f>SUM(D147:D151)</f>
        <v>5274.8110415907759</v>
      </c>
    </row>
    <row r="153" spans="1:4" ht="15.75" customHeight="1" x14ac:dyDescent="0.25">
      <c r="A153" s="36" t="s">
        <v>50</v>
      </c>
      <c r="B153" s="163" t="s">
        <v>126</v>
      </c>
      <c r="C153" s="163"/>
      <c r="D153" s="39">
        <f>D141</f>
        <v>1190.7536081045971</v>
      </c>
    </row>
    <row r="154" spans="1:4" ht="15.75" customHeight="1" x14ac:dyDescent="0.25">
      <c r="A154" s="164" t="s">
        <v>127</v>
      </c>
      <c r="B154" s="164"/>
      <c r="C154" s="164"/>
      <c r="D154" s="40">
        <f>TRUNC(SUM(D152:D153),2)</f>
        <v>6465.56</v>
      </c>
    </row>
  </sheetData>
  <mergeCells count="71">
    <mergeCell ref="A1:D1"/>
    <mergeCell ref="A2:D2"/>
    <mergeCell ref="A3:D3"/>
    <mergeCell ref="A5:D5"/>
    <mergeCell ref="C7:D7"/>
    <mergeCell ref="C8:D8"/>
    <mergeCell ref="C9:D9"/>
    <mergeCell ref="C10:D10"/>
    <mergeCell ref="C12:D12"/>
    <mergeCell ref="C13:D13"/>
    <mergeCell ref="C14:D14"/>
    <mergeCell ref="C15:D15"/>
    <mergeCell ref="C16:D16"/>
    <mergeCell ref="C17:D17"/>
    <mergeCell ref="C18:D18"/>
    <mergeCell ref="A20:D20"/>
    <mergeCell ref="B22:C22"/>
    <mergeCell ref="B23:C23"/>
    <mergeCell ref="B24:C24"/>
    <mergeCell ref="B25:C25"/>
    <mergeCell ref="B26:C26"/>
    <mergeCell ref="B27:C27"/>
    <mergeCell ref="B28:C28"/>
    <mergeCell ref="A29:C29"/>
    <mergeCell ref="A32:D32"/>
    <mergeCell ref="A34:D34"/>
    <mergeCell ref="B36:C36"/>
    <mergeCell ref="B37:C37"/>
    <mergeCell ref="B38:C38"/>
    <mergeCell ref="A39:C39"/>
    <mergeCell ref="A42:C42"/>
    <mergeCell ref="A44:D44"/>
    <mergeCell ref="A55:B55"/>
    <mergeCell ref="A58:D58"/>
    <mergeCell ref="A68:C68"/>
    <mergeCell ref="A71:D71"/>
    <mergeCell ref="B73:C73"/>
    <mergeCell ref="B74:C74"/>
    <mergeCell ref="B75:C75"/>
    <mergeCell ref="B76:C76"/>
    <mergeCell ref="A77:C77"/>
    <mergeCell ref="A80:D80"/>
    <mergeCell ref="A89:B89"/>
    <mergeCell ref="A92:D92"/>
    <mergeCell ref="A95:D95"/>
    <mergeCell ref="A104:B104"/>
    <mergeCell ref="A106:B106"/>
    <mergeCell ref="A109:D109"/>
    <mergeCell ref="A113:B113"/>
    <mergeCell ref="A116:D116"/>
    <mergeCell ref="B118:C118"/>
    <mergeCell ref="B119:C119"/>
    <mergeCell ref="B120:C120"/>
    <mergeCell ref="A121:C121"/>
    <mergeCell ref="A124:D124"/>
    <mergeCell ref="B126:C126"/>
    <mergeCell ref="B127:C127"/>
    <mergeCell ref="B128:C128"/>
    <mergeCell ref="A129:C129"/>
    <mergeCell ref="A132:D132"/>
    <mergeCell ref="A141:B141"/>
    <mergeCell ref="A144:D144"/>
    <mergeCell ref="B146:C146"/>
    <mergeCell ref="B147:C147"/>
    <mergeCell ref="B148:C148"/>
    <mergeCell ref="A154:C154"/>
    <mergeCell ref="B149:C149"/>
    <mergeCell ref="B150:C150"/>
    <mergeCell ref="B151:C151"/>
    <mergeCell ref="A152:C152"/>
    <mergeCell ref="B153:C153"/>
  </mergeCells>
  <printOptions horizontalCentered="1"/>
  <pageMargins left="0.51180555555555596" right="0.51180555555555596" top="1.1027777777777801" bottom="0.78749999999999998" header="0.78749999999999998" footer="0.511811023622047"/>
  <pageSetup paperSize="9" scale="79" fitToHeight="0" orientation="portrait" horizontalDpi="300" verticalDpi="300" r:id="rId1"/>
  <headerFooter>
    <oddHeader>&amp;C&amp;"Times New Roman,Normal"&amp;12&amp;F - &amp;A - Pág. &amp;P/&amp;N</oddHeader>
  </headerFooter>
  <rowBreaks count="2" manualBreakCount="2">
    <brk id="57" max="16383" man="1"/>
    <brk id="115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14</vt:i4>
      </vt:variant>
      <vt:variant>
        <vt:lpstr>Intervalos nomeados</vt:lpstr>
      </vt:variant>
      <vt:variant>
        <vt:i4>15</vt:i4>
      </vt:variant>
    </vt:vector>
  </HeadingPairs>
  <TitlesOfParts>
    <vt:vector size="29" baseType="lpstr">
      <vt:lpstr>Resumo</vt:lpstr>
      <vt:lpstr>Manutenção Cascavel</vt:lpstr>
      <vt:lpstr>Eletricista Cascavel</vt:lpstr>
      <vt:lpstr>Manutenção Curitiba</vt:lpstr>
      <vt:lpstr>Eletricista Curitiba</vt:lpstr>
      <vt:lpstr>Manutenção Maringá</vt:lpstr>
      <vt:lpstr>Eletricista Maringá</vt:lpstr>
      <vt:lpstr>Manutenção Londrina</vt:lpstr>
      <vt:lpstr>Eletricista Londrina</vt:lpstr>
      <vt:lpstr>Deslocamento</vt:lpstr>
      <vt:lpstr>Uniformes</vt:lpstr>
      <vt:lpstr>EPIs</vt:lpstr>
      <vt:lpstr>EPIs Covid-19</vt:lpstr>
      <vt:lpstr>Equipamentos</vt:lpstr>
      <vt:lpstr>Deslocamento!Area_de_impressao</vt:lpstr>
      <vt:lpstr>'Eletricista Cascavel'!Area_de_impressao</vt:lpstr>
      <vt:lpstr>'Eletricista Curitiba'!Area_de_impressao</vt:lpstr>
      <vt:lpstr>'Eletricista Londrina'!Area_de_impressao</vt:lpstr>
      <vt:lpstr>'Eletricista Maringá'!Area_de_impressao</vt:lpstr>
      <vt:lpstr>EPIs!Area_de_impressao</vt:lpstr>
      <vt:lpstr>'EPIs Covid-19'!Area_de_impressao</vt:lpstr>
      <vt:lpstr>Equipamentos!Area_de_impressao</vt:lpstr>
      <vt:lpstr>'Manutenção Cascavel'!Area_de_impressao</vt:lpstr>
      <vt:lpstr>'Manutenção Curitiba'!Area_de_impressao</vt:lpstr>
      <vt:lpstr>'Manutenção Londrina'!Area_de_impressao</vt:lpstr>
      <vt:lpstr>'Manutenção Maringá'!Area_de_impressao</vt:lpstr>
      <vt:lpstr>Resumo!Area_de_impressao</vt:lpstr>
      <vt:lpstr>Uniformes!Area_de_impressao</vt:lpstr>
      <vt:lpstr>Equipamentos!Titulos_de_impressao</vt:lpstr>
    </vt:vector>
  </TitlesOfParts>
  <Company>Tribunal Regional do Trabalho da 9ª Região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Fernanda De Almeida Santana</dc:creator>
  <dc:description/>
  <cp:lastModifiedBy>Alex</cp:lastModifiedBy>
  <cp:revision>6</cp:revision>
  <cp:lastPrinted>2022-08-31T15:04:59Z</cp:lastPrinted>
  <dcterms:created xsi:type="dcterms:W3CDTF">2022-07-08T18:31:02Z</dcterms:created>
  <dcterms:modified xsi:type="dcterms:W3CDTF">2022-10-13T17:47:04Z</dcterms:modified>
  <dc:language>pt-BR</dc:language>
</cp:coreProperties>
</file>