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/>
  <mc:AlternateContent xmlns:mc="http://schemas.openxmlformats.org/markup-compatibility/2006">
    <mc:Choice Requires="x15">
      <x15ac:absPath xmlns:x15ac="http://schemas.microsoft.com/office/spreadsheetml/2010/11/ac" url="C:\Users\patri\Documents\pg\PG e Cascavel\"/>
    </mc:Choice>
  </mc:AlternateContent>
  <xr:revisionPtr revIDLastSave="0" documentId="13_ncr:1_{253840E5-31EC-42B9-8D45-86C7B14A7354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RESUMO GERAL" sheetId="1" r:id="rId1"/>
    <sheet name="PLANILHA ANALÍTICA" sheetId="2" r:id="rId2"/>
    <sheet name="MAPA COTAÇÕES CIVIL" sheetId="3" r:id="rId3"/>
    <sheet name="MAPA COTAÇÕES ELÉTRICA" sheetId="6" r:id="rId4"/>
    <sheet name="BDI SERVIÇOS" sheetId="4" r:id="rId5"/>
  </sheets>
  <definedNames>
    <definedName name="_xlnm._FilterDatabase" localSheetId="1" hidden="1">'PLANILHA ANALÍTICA'!$A$1:$Q$6</definedName>
    <definedName name="_xlnm.Print_Area" localSheetId="1">'PLANILHA ANALÍTICA'!$A$1:$Q$1531</definedName>
    <definedName name="_xlnm.Print_Area" localSheetId="0">'RESUMO GERAL'!$A$1:$D$34</definedName>
    <definedName name="PLAN">'PLANILHA ANALÍTICA'!$E$1:$Q$1531</definedName>
    <definedName name="_xlnm.Print_Titles" localSheetId="0">'RESUMO GERAL'!$1:$6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28" i="2" l="1"/>
  <c r="I1527" i="2"/>
  <c r="I7" i="2"/>
  <c r="I6" i="2"/>
  <c r="I5" i="2"/>
  <c r="H452" i="2" l="1"/>
  <c r="H940" i="2"/>
  <c r="H934" i="2"/>
  <c r="K347" i="2"/>
  <c r="K348" i="2"/>
  <c r="K349" i="2"/>
  <c r="J345" i="2"/>
  <c r="K346" i="2"/>
  <c r="J344" i="2"/>
  <c r="K290" i="2"/>
  <c r="K291" i="2"/>
  <c r="K289" i="2"/>
  <c r="J283" i="2"/>
  <c r="J284" i="2"/>
  <c r="J285" i="2"/>
  <c r="J286" i="2"/>
  <c r="J287" i="2"/>
  <c r="K825" i="2"/>
  <c r="K826" i="2"/>
  <c r="J827" i="2"/>
  <c r="J828" i="2"/>
  <c r="H831" i="2"/>
  <c r="K831" i="2" s="1"/>
  <c r="H832" i="2"/>
  <c r="J833" i="2"/>
  <c r="H834" i="2"/>
  <c r="J834" i="2" s="1"/>
  <c r="H837" i="2"/>
  <c r="K837" i="2" s="1"/>
  <c r="H838" i="2"/>
  <c r="K838" i="2" s="1"/>
  <c r="J839" i="2"/>
  <c r="H840" i="2"/>
  <c r="J840" i="2" s="1"/>
  <c r="H843" i="2"/>
  <c r="K843" i="2" s="1"/>
  <c r="H844" i="2"/>
  <c r="K844" i="2" s="1"/>
  <c r="J845" i="2"/>
  <c r="J846" i="2"/>
  <c r="H849" i="2"/>
  <c r="K849" i="2" s="1"/>
  <c r="H850" i="2"/>
  <c r="K850" i="2" s="1"/>
  <c r="J851" i="2"/>
  <c r="H852" i="2"/>
  <c r="J852" i="2" s="1"/>
  <c r="H855" i="2"/>
  <c r="K855" i="2" s="1"/>
  <c r="H856" i="2"/>
  <c r="K856" i="2" s="1"/>
  <c r="J857" i="2"/>
  <c r="H858" i="2"/>
  <c r="J858" i="2" s="1"/>
  <c r="H861" i="2"/>
  <c r="K861" i="2" s="1"/>
  <c r="H862" i="2"/>
  <c r="K862" i="2" s="1"/>
  <c r="J863" i="2"/>
  <c r="H864" i="2"/>
  <c r="J864" i="2" s="1"/>
  <c r="H867" i="2"/>
  <c r="K867" i="2" s="1"/>
  <c r="H868" i="2"/>
  <c r="K868" i="2" s="1"/>
  <c r="J869" i="2"/>
  <c r="H870" i="2"/>
  <c r="J870" i="2" s="1"/>
  <c r="H873" i="2"/>
  <c r="K873" i="2" s="1"/>
  <c r="H874" i="2"/>
  <c r="K874" i="2" s="1"/>
  <c r="J875" i="2"/>
  <c r="H876" i="2"/>
  <c r="J876" i="2" s="1"/>
  <c r="H879" i="2"/>
  <c r="K879" i="2" s="1"/>
  <c r="H880" i="2"/>
  <c r="K880" i="2" s="1"/>
  <c r="J881" i="2"/>
  <c r="H882" i="2"/>
  <c r="J882" i="2" s="1"/>
  <c r="H885" i="2"/>
  <c r="K885" i="2" s="1"/>
  <c r="H886" i="2"/>
  <c r="K886" i="2" s="1"/>
  <c r="J887" i="2"/>
  <c r="J884" i="2" s="1"/>
  <c r="M884" i="2" s="1"/>
  <c r="H890" i="2"/>
  <c r="K890" i="2" s="1"/>
  <c r="H891" i="2"/>
  <c r="K891" i="2" s="1"/>
  <c r="J892" i="2"/>
  <c r="J889" i="2" s="1"/>
  <c r="H895" i="2"/>
  <c r="K895" i="2" s="1"/>
  <c r="H896" i="2"/>
  <c r="K896" i="2" s="1"/>
  <c r="J897" i="2"/>
  <c r="J898" i="2"/>
  <c r="H901" i="2"/>
  <c r="K901" i="2" s="1"/>
  <c r="H902" i="2"/>
  <c r="K902" i="2" s="1"/>
  <c r="J903" i="2"/>
  <c r="J904" i="2"/>
  <c r="H907" i="2"/>
  <c r="K907" i="2" s="1"/>
  <c r="H908" i="2"/>
  <c r="K908" i="2" s="1"/>
  <c r="J909" i="2"/>
  <c r="J910" i="2"/>
  <c r="H913" i="2"/>
  <c r="K913" i="2" s="1"/>
  <c r="H914" i="2"/>
  <c r="K914" i="2" s="1"/>
  <c r="J915" i="2"/>
  <c r="J916" i="2"/>
  <c r="H919" i="2"/>
  <c r="K919" i="2" s="1"/>
  <c r="H920" i="2"/>
  <c r="K920" i="2" s="1"/>
  <c r="J921" i="2"/>
  <c r="J922" i="2"/>
  <c r="H925" i="2"/>
  <c r="K925" i="2" s="1"/>
  <c r="H926" i="2"/>
  <c r="K926" i="2" s="1"/>
  <c r="J927" i="2"/>
  <c r="J928" i="2"/>
  <c r="H931" i="2"/>
  <c r="K931" i="2" s="1"/>
  <c r="H932" i="2"/>
  <c r="K932" i="2" s="1"/>
  <c r="J933" i="2"/>
  <c r="J934" i="2"/>
  <c r="H937" i="2"/>
  <c r="K937" i="2" s="1"/>
  <c r="H938" i="2"/>
  <c r="K938" i="2" s="1"/>
  <c r="J939" i="2"/>
  <c r="J940" i="2"/>
  <c r="H943" i="2"/>
  <c r="K943" i="2" s="1"/>
  <c r="H944" i="2"/>
  <c r="K944" i="2" s="1"/>
  <c r="J945" i="2"/>
  <c r="J946" i="2"/>
  <c r="H950" i="2"/>
  <c r="K950" i="2" s="1"/>
  <c r="H951" i="2"/>
  <c r="K951" i="2" s="1"/>
  <c r="J952" i="2"/>
  <c r="J949" i="2" s="1"/>
  <c r="M949" i="2" s="1"/>
  <c r="H955" i="2"/>
  <c r="K955" i="2" s="1"/>
  <c r="H956" i="2"/>
  <c r="K956" i="2" s="1"/>
  <c r="J957" i="2"/>
  <c r="J954" i="2" s="1"/>
  <c r="H960" i="2"/>
  <c r="K960" i="2" s="1"/>
  <c r="H961" i="2"/>
  <c r="K961" i="2" s="1"/>
  <c r="H965" i="2"/>
  <c r="K965" i="2" s="1"/>
  <c r="H966" i="2"/>
  <c r="K966" i="2" s="1"/>
  <c r="E967" i="2"/>
  <c r="H970" i="2"/>
  <c r="K970" i="2" s="1"/>
  <c r="H971" i="2"/>
  <c r="K971" i="2" s="1"/>
  <c r="E972" i="2"/>
  <c r="J972" i="2"/>
  <c r="J969" i="2" s="1"/>
  <c r="H975" i="2"/>
  <c r="K975" i="2" s="1"/>
  <c r="H976" i="2"/>
  <c r="K976" i="2" s="1"/>
  <c r="E977" i="2"/>
  <c r="J977" i="2"/>
  <c r="J974" i="2" s="1"/>
  <c r="H980" i="2"/>
  <c r="K980" i="2" s="1"/>
  <c r="H981" i="2"/>
  <c r="K981" i="2" s="1"/>
  <c r="E982" i="2"/>
  <c r="J982" i="2"/>
  <c r="J979" i="2" s="1"/>
  <c r="H985" i="2"/>
  <c r="K985" i="2" s="1"/>
  <c r="H986" i="2"/>
  <c r="K986" i="2" s="1"/>
  <c r="J987" i="2"/>
  <c r="J984" i="2" s="1"/>
  <c r="M984" i="2" s="1"/>
  <c r="H990" i="2"/>
  <c r="K990" i="2" s="1"/>
  <c r="H991" i="2"/>
  <c r="K991" i="2" s="1"/>
  <c r="J992" i="2"/>
  <c r="J989" i="2" s="1"/>
  <c r="M989" i="2" s="1"/>
  <c r="H997" i="2"/>
  <c r="K997" i="2" s="1"/>
  <c r="H998" i="2"/>
  <c r="K998" i="2" s="1"/>
  <c r="E1000" i="2"/>
  <c r="H1003" i="2"/>
  <c r="K1003" i="2" s="1"/>
  <c r="K1002" i="2" s="1"/>
  <c r="N1002" i="2" s="1"/>
  <c r="E1004" i="2"/>
  <c r="H1007" i="2"/>
  <c r="K1007" i="2" s="1"/>
  <c r="H1008" i="2"/>
  <c r="K1008" i="2" s="1"/>
  <c r="E1009" i="2"/>
  <c r="H1012" i="2"/>
  <c r="K1012" i="2" s="1"/>
  <c r="K1011" i="2" s="1"/>
  <c r="N1011" i="2" s="1"/>
  <c r="E1013" i="2"/>
  <c r="H1016" i="2"/>
  <c r="K1016" i="2" s="1"/>
  <c r="K1015" i="2" s="1"/>
  <c r="N1015" i="2" s="1"/>
  <c r="E1017" i="2"/>
  <c r="H1020" i="2"/>
  <c r="K1020" i="2" s="1"/>
  <c r="H1021" i="2"/>
  <c r="K1021" i="2" s="1"/>
  <c r="E1022" i="2"/>
  <c r="H1025" i="2"/>
  <c r="K1025" i="2" s="1"/>
  <c r="H1026" i="2"/>
  <c r="K1026" i="2" s="1"/>
  <c r="E1027" i="2"/>
  <c r="H1032" i="2"/>
  <c r="K1032" i="2" s="1"/>
  <c r="H1033" i="2"/>
  <c r="K1033" i="2" s="1"/>
  <c r="E1034" i="2"/>
  <c r="J1034" i="2"/>
  <c r="J1031" i="2" s="1"/>
  <c r="M1031" i="2" s="1"/>
  <c r="H1037" i="2"/>
  <c r="K1037" i="2" s="1"/>
  <c r="H1038" i="2"/>
  <c r="K1038" i="2" s="1"/>
  <c r="J1040" i="2"/>
  <c r="H1043" i="2"/>
  <c r="K1043" i="2" s="1"/>
  <c r="H1044" i="2"/>
  <c r="K1044" i="2" s="1"/>
  <c r="H1049" i="2"/>
  <c r="K1049" i="2" s="1"/>
  <c r="H1050" i="2"/>
  <c r="K1050" i="2" s="1"/>
  <c r="H1055" i="2"/>
  <c r="K1055" i="2" s="1"/>
  <c r="H1056" i="2"/>
  <c r="K1056" i="2" s="1"/>
  <c r="H1061" i="2"/>
  <c r="K1061" i="2" s="1"/>
  <c r="H1062" i="2"/>
  <c r="K1062" i="2" s="1"/>
  <c r="H1067" i="2"/>
  <c r="K1067" i="2" s="1"/>
  <c r="H1068" i="2"/>
  <c r="K1068" i="2" s="1"/>
  <c r="H1073" i="2"/>
  <c r="K1073" i="2" s="1"/>
  <c r="H1074" i="2"/>
  <c r="K1074" i="2" s="1"/>
  <c r="H1080" i="2"/>
  <c r="K1080" i="2" s="1"/>
  <c r="H1081" i="2"/>
  <c r="K1081" i="2" s="1"/>
  <c r="H1087" i="2"/>
  <c r="K1087" i="2" s="1"/>
  <c r="H1088" i="2"/>
  <c r="K1088" i="2" s="1"/>
  <c r="H1093" i="2"/>
  <c r="K1093" i="2" s="1"/>
  <c r="H1094" i="2"/>
  <c r="K1094" i="2" s="1"/>
  <c r="H1099" i="2"/>
  <c r="K1099" i="2" s="1"/>
  <c r="H1100" i="2"/>
  <c r="K1100" i="2" s="1"/>
  <c r="H1111" i="2"/>
  <c r="K1111" i="2" s="1"/>
  <c r="H1112" i="2"/>
  <c r="K1112" i="2" s="1"/>
  <c r="H1116" i="2"/>
  <c r="K1116" i="2" s="1"/>
  <c r="H1117" i="2"/>
  <c r="K1117" i="2" s="1"/>
  <c r="H1121" i="2"/>
  <c r="K1121" i="2" s="1"/>
  <c r="K1120" i="2" s="1"/>
  <c r="N1120" i="2" s="1"/>
  <c r="H1125" i="2"/>
  <c r="K1125" i="2" s="1"/>
  <c r="K1124" i="2" s="1"/>
  <c r="N1124" i="2" s="1"/>
  <c r="H1129" i="2"/>
  <c r="K1129" i="2" s="1"/>
  <c r="K1128" i="2" s="1"/>
  <c r="N1128" i="2" s="1"/>
  <c r="H1133" i="2"/>
  <c r="K1133" i="2" s="1"/>
  <c r="K1132" i="2" s="1"/>
  <c r="N1132" i="2" s="1"/>
  <c r="H1139" i="2"/>
  <c r="K1139" i="2" s="1"/>
  <c r="H1140" i="2"/>
  <c r="K1140" i="2" s="1"/>
  <c r="J1141" i="2"/>
  <c r="J1138" i="2" s="1"/>
  <c r="M1138" i="2" s="1"/>
  <c r="H1144" i="2"/>
  <c r="K1144" i="2" s="1"/>
  <c r="H1145" i="2"/>
  <c r="K1145" i="2" s="1"/>
  <c r="J1146" i="2"/>
  <c r="J1143" i="2" s="1"/>
  <c r="H1149" i="2"/>
  <c r="K1149" i="2" s="1"/>
  <c r="H1150" i="2"/>
  <c r="K1150" i="2" s="1"/>
  <c r="J1151" i="2"/>
  <c r="J1148" i="2" s="1"/>
  <c r="M1148" i="2" s="1"/>
  <c r="H1154" i="2"/>
  <c r="K1154" i="2" s="1"/>
  <c r="H1155" i="2"/>
  <c r="K1155" i="2" s="1"/>
  <c r="J1156" i="2"/>
  <c r="J1153" i="2" s="1"/>
  <c r="H1159" i="2"/>
  <c r="K1159" i="2" s="1"/>
  <c r="H1160" i="2"/>
  <c r="K1160" i="2" s="1"/>
  <c r="J1161" i="2"/>
  <c r="J1158" i="2" s="1"/>
  <c r="H1164" i="2"/>
  <c r="K1164" i="2" s="1"/>
  <c r="H1165" i="2"/>
  <c r="K1165" i="2" s="1"/>
  <c r="J1166" i="2"/>
  <c r="J1163" i="2" s="1"/>
  <c r="M1163" i="2" s="1"/>
  <c r="H1169" i="2"/>
  <c r="K1169" i="2" s="1"/>
  <c r="H1170" i="2"/>
  <c r="K1170" i="2" s="1"/>
  <c r="J1171" i="2"/>
  <c r="J1168" i="2" s="1"/>
  <c r="H1174" i="2"/>
  <c r="K1174" i="2" s="1"/>
  <c r="H1175" i="2"/>
  <c r="K1175" i="2" s="1"/>
  <c r="J1176" i="2"/>
  <c r="J1173" i="2" s="1"/>
  <c r="H1179" i="2"/>
  <c r="K1179" i="2" s="1"/>
  <c r="H1180" i="2"/>
  <c r="K1180" i="2" s="1"/>
  <c r="J1181" i="2"/>
  <c r="J1178" i="2" s="1"/>
  <c r="H1184" i="2"/>
  <c r="K1184" i="2" s="1"/>
  <c r="H1185" i="2"/>
  <c r="K1185" i="2" s="1"/>
  <c r="J1186" i="2"/>
  <c r="J1183" i="2" s="1"/>
  <c r="H1189" i="2"/>
  <c r="K1189" i="2" s="1"/>
  <c r="H1190" i="2"/>
  <c r="K1190" i="2" s="1"/>
  <c r="E1191" i="2"/>
  <c r="J1191" i="2"/>
  <c r="J1188" i="2" s="1"/>
  <c r="H1194" i="2"/>
  <c r="K1194" i="2" s="1"/>
  <c r="H1195" i="2"/>
  <c r="K1195" i="2" s="1"/>
  <c r="E1196" i="2"/>
  <c r="J1196" i="2"/>
  <c r="J1193" i="2" s="1"/>
  <c r="H1199" i="2"/>
  <c r="K1199" i="2" s="1"/>
  <c r="H1200" i="2"/>
  <c r="K1200" i="2" s="1"/>
  <c r="E1201" i="2"/>
  <c r="J1201" i="2"/>
  <c r="J1198" i="2" s="1"/>
  <c r="H1204" i="2"/>
  <c r="K1204" i="2" s="1"/>
  <c r="H1205" i="2"/>
  <c r="K1205" i="2" s="1"/>
  <c r="E1206" i="2"/>
  <c r="J1206" i="2"/>
  <c r="J1203" i="2" s="1"/>
  <c r="M1203" i="2" s="1"/>
  <c r="H1209" i="2"/>
  <c r="K1209" i="2" s="1"/>
  <c r="H1210" i="2"/>
  <c r="K1210" i="2" s="1"/>
  <c r="E1211" i="2"/>
  <c r="J1211" i="2"/>
  <c r="J1208" i="2" s="1"/>
  <c r="H1214" i="2"/>
  <c r="K1214" i="2" s="1"/>
  <c r="H1215" i="2"/>
  <c r="K1215" i="2" s="1"/>
  <c r="E1216" i="2"/>
  <c r="H1219" i="2"/>
  <c r="K1219" i="2" s="1"/>
  <c r="H1220" i="2"/>
  <c r="K1220" i="2" s="1"/>
  <c r="E1221" i="2"/>
  <c r="J1221" i="2"/>
  <c r="J1218" i="2" s="1"/>
  <c r="H1224" i="2"/>
  <c r="K1224" i="2" s="1"/>
  <c r="H1225" i="2"/>
  <c r="K1225" i="2" s="1"/>
  <c r="E1226" i="2"/>
  <c r="J1226" i="2"/>
  <c r="J1223" i="2" s="1"/>
  <c r="H1229" i="2"/>
  <c r="K1229" i="2" s="1"/>
  <c r="H1230" i="2"/>
  <c r="K1230" i="2" s="1"/>
  <c r="E1231" i="2"/>
  <c r="J1231" i="2"/>
  <c r="J1228" i="2" s="1"/>
  <c r="M1228" i="2" s="1"/>
  <c r="H1236" i="2"/>
  <c r="K1236" i="2" s="1"/>
  <c r="H1237" i="2"/>
  <c r="K1237" i="2" s="1"/>
  <c r="E1238" i="2"/>
  <c r="H1241" i="2"/>
  <c r="K1241" i="2" s="1"/>
  <c r="H1242" i="2"/>
  <c r="K1242" i="2" s="1"/>
  <c r="E1243" i="2"/>
  <c r="H1246" i="2"/>
  <c r="K1246" i="2" s="1"/>
  <c r="H1247" i="2"/>
  <c r="K1247" i="2" s="1"/>
  <c r="J1248" i="2"/>
  <c r="J1245" i="2" s="1"/>
  <c r="K1250" i="2"/>
  <c r="N1250" i="2" s="1"/>
  <c r="J1251" i="2"/>
  <c r="J1252" i="2"/>
  <c r="H1255" i="2"/>
  <c r="K1255" i="2" s="1"/>
  <c r="H1256" i="2"/>
  <c r="K1256" i="2" s="1"/>
  <c r="E1257" i="2"/>
  <c r="J1257" i="2"/>
  <c r="J1254" i="2" s="1"/>
  <c r="H1262" i="2"/>
  <c r="K1262" i="2" s="1"/>
  <c r="H1263" i="2"/>
  <c r="K1263" i="2" s="1"/>
  <c r="J1264" i="2"/>
  <c r="J1265" i="2"/>
  <c r="H1268" i="2"/>
  <c r="K1268" i="2" s="1"/>
  <c r="H1269" i="2"/>
  <c r="K1269" i="2" s="1"/>
  <c r="J1270" i="2"/>
  <c r="J1271" i="2"/>
  <c r="H1275" i="2"/>
  <c r="K1275" i="2" s="1"/>
  <c r="H1276" i="2"/>
  <c r="K1276" i="2" s="1"/>
  <c r="J1277" i="2"/>
  <c r="J1274" i="2" s="1"/>
  <c r="M1274" i="2" s="1"/>
  <c r="H1282" i="2"/>
  <c r="K1282" i="2" s="1"/>
  <c r="H1283" i="2"/>
  <c r="K1283" i="2" s="1"/>
  <c r="E1284" i="2"/>
  <c r="J1284" i="2"/>
  <c r="J1281" i="2" s="1"/>
  <c r="H1287" i="2"/>
  <c r="K1287" i="2" s="1"/>
  <c r="H1288" i="2"/>
  <c r="K1288" i="2" s="1"/>
  <c r="E1289" i="2"/>
  <c r="J1289" i="2"/>
  <c r="J1286" i="2" s="1"/>
  <c r="H1292" i="2"/>
  <c r="K1292" i="2" s="1"/>
  <c r="H1293" i="2"/>
  <c r="K1293" i="2" s="1"/>
  <c r="E1294" i="2"/>
  <c r="J1294" i="2"/>
  <c r="J1291" i="2" s="1"/>
  <c r="H1297" i="2"/>
  <c r="K1297" i="2" s="1"/>
  <c r="H1298" i="2"/>
  <c r="K1298" i="2" s="1"/>
  <c r="E1299" i="2"/>
  <c r="J1299" i="2"/>
  <c r="J1296" i="2" s="1"/>
  <c r="M1296" i="2" s="1"/>
  <c r="H1302" i="2"/>
  <c r="K1302" i="2" s="1"/>
  <c r="H1303" i="2"/>
  <c r="K1303" i="2" s="1"/>
  <c r="E1304" i="2"/>
  <c r="J1304" i="2"/>
  <c r="J1301" i="2" s="1"/>
  <c r="M1301" i="2" s="1"/>
  <c r="H1307" i="2"/>
  <c r="K1307" i="2" s="1"/>
  <c r="H1308" i="2"/>
  <c r="K1308" i="2" s="1"/>
  <c r="E1309" i="2"/>
  <c r="J1309" i="2"/>
  <c r="J1310" i="2"/>
  <c r="H1313" i="2"/>
  <c r="K1313" i="2" s="1"/>
  <c r="H1314" i="2"/>
  <c r="K1314" i="2" s="1"/>
  <c r="E1315" i="2"/>
  <c r="J1315" i="2"/>
  <c r="J1316" i="2"/>
  <c r="H1319" i="2"/>
  <c r="K1319" i="2" s="1"/>
  <c r="H1320" i="2"/>
  <c r="K1320" i="2" s="1"/>
  <c r="E1321" i="2"/>
  <c r="J1321" i="2"/>
  <c r="J1322" i="2"/>
  <c r="H1325" i="2"/>
  <c r="K1325" i="2" s="1"/>
  <c r="H1326" i="2"/>
  <c r="K1326" i="2" s="1"/>
  <c r="E1327" i="2"/>
  <c r="J1327" i="2"/>
  <c r="J1328" i="2"/>
  <c r="H1331" i="2"/>
  <c r="K1331" i="2" s="1"/>
  <c r="H1332" i="2"/>
  <c r="K1332" i="2" s="1"/>
  <c r="E1333" i="2"/>
  <c r="J1333" i="2"/>
  <c r="J1334" i="2"/>
  <c r="H1337" i="2"/>
  <c r="K1337" i="2" s="1"/>
  <c r="H1338" i="2"/>
  <c r="K1338" i="2" s="1"/>
  <c r="E1339" i="2"/>
  <c r="J1339" i="2"/>
  <c r="J1340" i="2"/>
  <c r="H1343" i="2"/>
  <c r="K1343" i="2" s="1"/>
  <c r="H1344" i="2"/>
  <c r="K1344" i="2" s="1"/>
  <c r="E1345" i="2"/>
  <c r="J1345" i="2"/>
  <c r="J1346" i="2"/>
  <c r="H1349" i="2"/>
  <c r="K1349" i="2" s="1"/>
  <c r="H1350" i="2"/>
  <c r="K1350" i="2" s="1"/>
  <c r="E1351" i="2"/>
  <c r="J1351" i="2"/>
  <c r="J1352" i="2"/>
  <c r="H1355" i="2"/>
  <c r="K1355" i="2" s="1"/>
  <c r="H1356" i="2"/>
  <c r="K1356" i="2" s="1"/>
  <c r="E1357" i="2"/>
  <c r="J1357" i="2"/>
  <c r="J1358" i="2"/>
  <c r="H1361" i="2"/>
  <c r="K1361" i="2" s="1"/>
  <c r="H1362" i="2"/>
  <c r="K1362" i="2" s="1"/>
  <c r="E1363" i="2"/>
  <c r="J1363" i="2"/>
  <c r="J1364" i="2"/>
  <c r="H1368" i="2"/>
  <c r="K1368" i="2" s="1"/>
  <c r="H1369" i="2"/>
  <c r="K1369" i="2" s="1"/>
  <c r="J1370" i="2"/>
  <c r="J1367" i="2" s="1"/>
  <c r="H1374" i="2"/>
  <c r="K1374" i="2" s="1"/>
  <c r="H1375" i="2"/>
  <c r="K1375" i="2" s="1"/>
  <c r="E1376" i="2"/>
  <c r="H1380" i="2"/>
  <c r="K1380" i="2" s="1"/>
  <c r="H1381" i="2"/>
  <c r="K1381" i="2" s="1"/>
  <c r="E1382" i="2"/>
  <c r="J1383" i="2"/>
  <c r="H1386" i="2"/>
  <c r="K1386" i="2" s="1"/>
  <c r="H1387" i="2"/>
  <c r="K1387" i="2" s="1"/>
  <c r="E1388" i="2"/>
  <c r="J1388" i="2"/>
  <c r="J1389" i="2"/>
  <c r="H1392" i="2"/>
  <c r="K1392" i="2" s="1"/>
  <c r="H1393" i="2"/>
  <c r="K1393" i="2" s="1"/>
  <c r="E1394" i="2"/>
  <c r="H1397" i="2"/>
  <c r="K1397" i="2" s="1"/>
  <c r="H1398" i="2"/>
  <c r="K1398" i="2" s="1"/>
  <c r="E1399" i="2"/>
  <c r="H1402" i="2"/>
  <c r="K1402" i="2" s="1"/>
  <c r="H1403" i="2"/>
  <c r="K1403" i="2" s="1"/>
  <c r="E1404" i="2"/>
  <c r="H1407" i="2"/>
  <c r="K1407" i="2" s="1"/>
  <c r="H1408" i="2"/>
  <c r="K1408" i="2" s="1"/>
  <c r="E1409" i="2"/>
  <c r="J1409" i="2"/>
  <c r="J1406" i="2" s="1"/>
  <c r="M1406" i="2" s="1"/>
  <c r="H1415" i="2"/>
  <c r="K1415" i="2" s="1"/>
  <c r="H1416" i="2"/>
  <c r="K1416" i="2" s="1"/>
  <c r="E1417" i="2"/>
  <c r="J1417" i="2"/>
  <c r="J1414" i="2" s="1"/>
  <c r="H1420" i="2"/>
  <c r="K1420" i="2" s="1"/>
  <c r="H1421" i="2"/>
  <c r="K1421" i="2" s="1"/>
  <c r="E1422" i="2"/>
  <c r="J1422" i="2"/>
  <c r="J1419" i="2" s="1"/>
  <c r="H1425" i="2"/>
  <c r="K1425" i="2" s="1"/>
  <c r="K1424" i="2" s="1"/>
  <c r="N1424" i="2" s="1"/>
  <c r="E1426" i="2"/>
  <c r="J1426" i="2"/>
  <c r="J1424" i="2" s="1"/>
  <c r="H1429" i="2"/>
  <c r="K1429" i="2" s="1"/>
  <c r="H1430" i="2"/>
  <c r="K1430" i="2" s="1"/>
  <c r="E1431" i="2"/>
  <c r="J1431" i="2"/>
  <c r="J1428" i="2" s="1"/>
  <c r="H1434" i="2"/>
  <c r="K1434" i="2" s="1"/>
  <c r="H1435" i="2"/>
  <c r="K1435" i="2" s="1"/>
  <c r="E1436" i="2"/>
  <c r="H1441" i="2"/>
  <c r="K1441" i="2" s="1"/>
  <c r="H1442" i="2"/>
  <c r="K1442" i="2" s="1"/>
  <c r="H1446" i="2"/>
  <c r="K1446" i="2" s="1"/>
  <c r="H1447" i="2"/>
  <c r="K1447" i="2" s="1"/>
  <c r="E1448" i="2"/>
  <c r="H1451" i="2"/>
  <c r="K1451" i="2" s="1"/>
  <c r="H1452" i="2"/>
  <c r="K1452" i="2" s="1"/>
  <c r="E1453" i="2"/>
  <c r="H1456" i="2"/>
  <c r="K1456" i="2" s="1"/>
  <c r="H1457" i="2"/>
  <c r="K1457" i="2" s="1"/>
  <c r="E1458" i="2"/>
  <c r="J1458" i="2"/>
  <c r="J1455" i="2" s="1"/>
  <c r="H1461" i="2"/>
  <c r="K1461" i="2" s="1"/>
  <c r="H1462" i="2"/>
  <c r="K1462" i="2" s="1"/>
  <c r="E1463" i="2"/>
  <c r="J1463" i="2"/>
  <c r="J1460" i="2" s="1"/>
  <c r="H1466" i="2"/>
  <c r="K1466" i="2" s="1"/>
  <c r="H1467" i="2"/>
  <c r="K1467" i="2" s="1"/>
  <c r="E1468" i="2"/>
  <c r="J1468" i="2"/>
  <c r="J1465" i="2" s="1"/>
  <c r="H1471" i="2"/>
  <c r="K1471" i="2" s="1"/>
  <c r="H1472" i="2"/>
  <c r="K1472" i="2" s="1"/>
  <c r="E1473" i="2"/>
  <c r="J1473" i="2"/>
  <c r="J1470" i="2" s="1"/>
  <c r="M1470" i="2" s="1"/>
  <c r="H1478" i="2"/>
  <c r="K1478" i="2" s="1"/>
  <c r="H1479" i="2"/>
  <c r="K1479" i="2" s="1"/>
  <c r="E1480" i="2"/>
  <c r="J1480" i="2"/>
  <c r="J1477" i="2" s="1"/>
  <c r="H1483" i="2"/>
  <c r="K1483" i="2" s="1"/>
  <c r="K1484" i="2"/>
  <c r="J1485" i="2"/>
  <c r="J1482" i="2" s="1"/>
  <c r="H1488" i="2"/>
  <c r="K1488" i="2" s="1"/>
  <c r="K1489" i="2"/>
  <c r="E1490" i="2"/>
  <c r="J1490" i="2"/>
  <c r="J1487" i="2" s="1"/>
  <c r="H1493" i="2"/>
  <c r="K1493" i="2" s="1"/>
  <c r="K1494" i="2"/>
  <c r="E1495" i="2"/>
  <c r="H1498" i="2"/>
  <c r="K1498" i="2" s="1"/>
  <c r="K1499" i="2"/>
  <c r="E1500" i="2"/>
  <c r="K1503" i="2"/>
  <c r="K1502" i="2" s="1"/>
  <c r="N1502" i="2" s="1"/>
  <c r="E1504" i="2"/>
  <c r="J1504" i="2"/>
  <c r="J1502" i="2" s="1"/>
  <c r="H1507" i="2"/>
  <c r="K1507" i="2" s="1"/>
  <c r="K1508" i="2"/>
  <c r="E1509" i="2"/>
  <c r="H1512" i="2"/>
  <c r="K1512" i="2" s="1"/>
  <c r="K1513" i="2"/>
  <c r="E1514" i="2"/>
  <c r="J1516" i="2"/>
  <c r="H1517" i="2"/>
  <c r="K1517" i="2" s="1"/>
  <c r="K1518" i="2"/>
  <c r="H1521" i="2"/>
  <c r="K1521" i="2" s="1"/>
  <c r="H1522" i="2"/>
  <c r="K1522" i="2" s="1"/>
  <c r="J1523" i="2"/>
  <c r="J1520" i="2" s="1"/>
  <c r="J1526" i="2"/>
  <c r="H1527" i="2"/>
  <c r="K1527" i="2" s="1"/>
  <c r="H1528" i="2"/>
  <c r="K1528" i="2" s="1"/>
  <c r="K282" i="2" l="1"/>
  <c r="K343" i="2"/>
  <c r="N343" i="2" s="1"/>
  <c r="J343" i="2"/>
  <c r="H1105" i="2"/>
  <c r="K1105" i="2" s="1"/>
  <c r="K894" i="2"/>
  <c r="N894" i="2" s="1"/>
  <c r="J942" i="2"/>
  <c r="M942" i="2" s="1"/>
  <c r="K974" i="2"/>
  <c r="N974" i="2" s="1"/>
  <c r="J1336" i="2"/>
  <c r="M1336" i="2" s="1"/>
  <c r="K1235" i="2"/>
  <c r="N1235" i="2" s="1"/>
  <c r="K1060" i="2"/>
  <c r="N1060" i="2" s="1"/>
  <c r="J1261" i="2"/>
  <c r="M1261" i="2" s="1"/>
  <c r="K989" i="2"/>
  <c r="N989" i="2" s="1"/>
  <c r="O989" i="2" s="1"/>
  <c r="P989" i="2" s="1"/>
  <c r="K1245" i="2"/>
  <c r="N1245" i="2" s="1"/>
  <c r="K1342" i="2"/>
  <c r="N1342" i="2" s="1"/>
  <c r="J1324" i="2"/>
  <c r="M1324" i="2" s="1"/>
  <c r="K942" i="2"/>
  <c r="N942" i="2" s="1"/>
  <c r="K1158" i="2"/>
  <c r="N1158" i="2" s="1"/>
  <c r="L1424" i="2"/>
  <c r="K824" i="2"/>
  <c r="N824" i="2" s="1"/>
  <c r="K1301" i="2"/>
  <c r="N1301" i="2" s="1"/>
  <c r="O1301" i="2" s="1"/>
  <c r="P1301" i="2" s="1"/>
  <c r="J878" i="2"/>
  <c r="M878" i="2" s="1"/>
  <c r="J866" i="2"/>
  <c r="M866" i="2" s="1"/>
  <c r="J824" i="2"/>
  <c r="M824" i="2" s="1"/>
  <c r="K1183" i="2"/>
  <c r="N1183" i="2" s="1"/>
  <c r="J918" i="2"/>
  <c r="M918" i="2" s="1"/>
  <c r="K1477" i="2"/>
  <c r="N1477" i="2" s="1"/>
  <c r="J936" i="2"/>
  <c r="M936" i="2" s="1"/>
  <c r="J830" i="2"/>
  <c r="M830" i="2" s="1"/>
  <c r="J1318" i="2"/>
  <c r="M1318" i="2" s="1"/>
  <c r="K1148" i="2"/>
  <c r="N1148" i="2" s="1"/>
  <c r="O1148" i="2" s="1"/>
  <c r="P1148" i="2" s="1"/>
  <c r="J836" i="2"/>
  <c r="M836" i="2" s="1"/>
  <c r="K884" i="2"/>
  <c r="N884" i="2" s="1"/>
  <c r="O884" i="2" s="1"/>
  <c r="P884" i="2" s="1"/>
  <c r="K1178" i="2"/>
  <c r="N1178" i="2" s="1"/>
  <c r="K1086" i="2"/>
  <c r="N1086" i="2" s="1"/>
  <c r="K1193" i="2"/>
  <c r="N1193" i="2" s="1"/>
  <c r="K1526" i="2"/>
  <c r="N1526" i="2" s="1"/>
  <c r="K1440" i="2"/>
  <c r="N1440" i="2" s="1"/>
  <c r="K1092" i="2"/>
  <c r="N1092" i="2" s="1"/>
  <c r="K1031" i="2"/>
  <c r="N1031" i="2" s="1"/>
  <c r="O1031" i="2" s="1"/>
  <c r="P1031" i="2" s="1"/>
  <c r="J900" i="2"/>
  <c r="M900" i="2" s="1"/>
  <c r="K872" i="2"/>
  <c r="N872" i="2" s="1"/>
  <c r="K1367" i="2"/>
  <c r="N1367" i="2" s="1"/>
  <c r="K1281" i="2"/>
  <c r="N1281" i="2" s="1"/>
  <c r="K1208" i="2"/>
  <c r="N1208" i="2" s="1"/>
  <c r="K1048" i="2"/>
  <c r="N1048" i="2" s="1"/>
  <c r="K912" i="2"/>
  <c r="N912" i="2" s="1"/>
  <c r="K1385" i="2"/>
  <c r="N1385" i="2" s="1"/>
  <c r="K1324" i="2"/>
  <c r="N1324" i="2" s="1"/>
  <c r="J1312" i="2"/>
  <c r="M1312" i="2" s="1"/>
  <c r="K1198" i="2"/>
  <c r="N1198" i="2" s="1"/>
  <c r="K1110" i="2"/>
  <c r="N1110" i="2" s="1"/>
  <c r="K1006" i="2"/>
  <c r="N1006" i="2" s="1"/>
  <c r="K1511" i="2"/>
  <c r="N1511" i="2" s="1"/>
  <c r="K1428" i="2"/>
  <c r="N1428" i="2" s="1"/>
  <c r="K1296" i="2"/>
  <c r="N1296" i="2" s="1"/>
  <c r="O1296" i="2" s="1"/>
  <c r="P1296" i="2" s="1"/>
  <c r="K1213" i="2"/>
  <c r="N1213" i="2" s="1"/>
  <c r="K1072" i="2"/>
  <c r="N1072" i="2" s="1"/>
  <c r="K918" i="2"/>
  <c r="N918" i="2" s="1"/>
  <c r="K848" i="2"/>
  <c r="N848" i="2" s="1"/>
  <c r="K1482" i="2"/>
  <c r="N1482" i="2" s="1"/>
  <c r="K1401" i="2"/>
  <c r="N1401" i="2" s="1"/>
  <c r="K1354" i="2"/>
  <c r="N1354" i="2" s="1"/>
  <c r="K1286" i="2"/>
  <c r="N1286" i="2" s="1"/>
  <c r="K1228" i="2"/>
  <c r="N1228" i="2" s="1"/>
  <c r="O1228" i="2" s="1"/>
  <c r="P1228" i="2" s="1"/>
  <c r="K1024" i="2"/>
  <c r="N1024" i="2" s="1"/>
  <c r="K979" i="2"/>
  <c r="N979" i="2" s="1"/>
  <c r="K959" i="2"/>
  <c r="N959" i="2" s="1"/>
  <c r="K1360" i="2"/>
  <c r="N1360" i="2" s="1"/>
  <c r="J912" i="2"/>
  <c r="J860" i="2"/>
  <c r="M860" i="2" s="1"/>
  <c r="K964" i="2"/>
  <c r="N964" i="2" s="1"/>
  <c r="K1306" i="2"/>
  <c r="N1306" i="2" s="1"/>
  <c r="K1391" i="2"/>
  <c r="N1391" i="2" s="1"/>
  <c r="M1158" i="2"/>
  <c r="K1079" i="2"/>
  <c r="N1079" i="2" s="1"/>
  <c r="K1506" i="2"/>
  <c r="N1506" i="2" s="1"/>
  <c r="J1360" i="2"/>
  <c r="M1360" i="2" s="1"/>
  <c r="K1312" i="2"/>
  <c r="N1312" i="2" s="1"/>
  <c r="K1261" i="2"/>
  <c r="N1261" i="2" s="1"/>
  <c r="K1098" i="2"/>
  <c r="N1098" i="2" s="1"/>
  <c r="K969" i="2"/>
  <c r="N969" i="2" s="1"/>
  <c r="K906" i="2"/>
  <c r="N906" i="2" s="1"/>
  <c r="K1455" i="2"/>
  <c r="N1455" i="2" s="1"/>
  <c r="K1414" i="2"/>
  <c r="N1414" i="2" s="1"/>
  <c r="J1385" i="2"/>
  <c r="J1342" i="2"/>
  <c r="M1342" i="2" s="1"/>
  <c r="J1330" i="2"/>
  <c r="M1330" i="2" s="1"/>
  <c r="K1163" i="2"/>
  <c r="N1163" i="2" s="1"/>
  <c r="O1163" i="2" s="1"/>
  <c r="P1163" i="2" s="1"/>
  <c r="K1143" i="2"/>
  <c r="N1143" i="2" s="1"/>
  <c r="K1019" i="2"/>
  <c r="N1019" i="2" s="1"/>
  <c r="J930" i="2"/>
  <c r="M930" i="2" s="1"/>
  <c r="J894" i="2"/>
  <c r="M894" i="2" s="1"/>
  <c r="K854" i="2"/>
  <c r="N854" i="2" s="1"/>
  <c r="J842" i="2"/>
  <c r="K1497" i="2"/>
  <c r="N1497" i="2" s="1"/>
  <c r="K1487" i="2"/>
  <c r="N1487" i="2" s="1"/>
  <c r="K1318" i="2"/>
  <c r="N1318" i="2" s="1"/>
  <c r="K1223" i="2"/>
  <c r="N1223" i="2" s="1"/>
  <c r="K1173" i="2"/>
  <c r="N1173" i="2" s="1"/>
  <c r="K860" i="2"/>
  <c r="N860" i="2" s="1"/>
  <c r="K1291" i="2"/>
  <c r="N1291" i="2" s="1"/>
  <c r="K1188" i="2"/>
  <c r="N1188" i="2" s="1"/>
  <c r="K1042" i="2"/>
  <c r="N1042" i="2" s="1"/>
  <c r="K996" i="2"/>
  <c r="N996" i="2" s="1"/>
  <c r="J848" i="2"/>
  <c r="M848" i="2" s="1"/>
  <c r="K1460" i="2"/>
  <c r="N1460" i="2" s="1"/>
  <c r="K1379" i="2"/>
  <c r="N1379" i="2" s="1"/>
  <c r="J1348" i="2"/>
  <c r="M1348" i="2" s="1"/>
  <c r="K1054" i="2"/>
  <c r="N1054" i="2" s="1"/>
  <c r="K866" i="2"/>
  <c r="N866" i="2" s="1"/>
  <c r="K842" i="2"/>
  <c r="N842" i="2" s="1"/>
  <c r="K1516" i="2"/>
  <c r="N1516" i="2" s="1"/>
  <c r="K1492" i="2"/>
  <c r="N1492" i="2" s="1"/>
  <c r="K1465" i="2"/>
  <c r="N1465" i="2" s="1"/>
  <c r="K1450" i="2"/>
  <c r="N1450" i="2" s="1"/>
  <c r="K1168" i="2"/>
  <c r="N1168" i="2" s="1"/>
  <c r="K1066" i="2"/>
  <c r="N1066" i="2" s="1"/>
  <c r="K954" i="2"/>
  <c r="N954" i="2" s="1"/>
  <c r="K936" i="2"/>
  <c r="N936" i="2" s="1"/>
  <c r="J924" i="2"/>
  <c r="M924" i="2" s="1"/>
  <c r="J854" i="2"/>
  <c r="M854" i="2" s="1"/>
  <c r="M1428" i="2"/>
  <c r="M1477" i="2"/>
  <c r="K1470" i="2"/>
  <c r="M1460" i="2"/>
  <c r="M1419" i="2"/>
  <c r="K1445" i="2"/>
  <c r="N1445" i="2" s="1"/>
  <c r="K1520" i="2"/>
  <c r="N1520" i="2" s="1"/>
  <c r="K1419" i="2"/>
  <c r="N1419" i="2" s="1"/>
  <c r="M1482" i="2"/>
  <c r="L1502" i="2"/>
  <c r="M1455" i="2"/>
  <c r="K1433" i="2"/>
  <c r="N1433" i="2" s="1"/>
  <c r="M1414" i="2"/>
  <c r="K1406" i="2"/>
  <c r="N1406" i="2" s="1"/>
  <c r="O1406" i="2" s="1"/>
  <c r="P1406" i="2" s="1"/>
  <c r="K1373" i="2"/>
  <c r="N1373" i="2" s="1"/>
  <c r="K1330" i="2"/>
  <c r="N1330" i="2" s="1"/>
  <c r="K1240" i="2"/>
  <c r="N1240" i="2" s="1"/>
  <c r="M1520" i="2"/>
  <c r="K1336" i="2"/>
  <c r="J1306" i="2"/>
  <c r="K1254" i="2"/>
  <c r="N1254" i="2" s="1"/>
  <c r="K1348" i="2"/>
  <c r="N1348" i="2" s="1"/>
  <c r="K1218" i="2"/>
  <c r="N1218" i="2" s="1"/>
  <c r="M1178" i="2"/>
  <c r="M1526" i="2"/>
  <c r="M1502" i="2"/>
  <c r="O1502" i="2" s="1"/>
  <c r="P1502" i="2" s="1"/>
  <c r="M1465" i="2"/>
  <c r="M1516" i="2"/>
  <c r="M1487" i="2"/>
  <c r="M1424" i="2"/>
  <c r="O1424" i="2" s="1"/>
  <c r="P1424" i="2" s="1"/>
  <c r="K1396" i="2"/>
  <c r="N1396" i="2" s="1"/>
  <c r="M1291" i="2"/>
  <c r="M1281" i="2"/>
  <c r="M1208" i="2"/>
  <c r="M1173" i="2"/>
  <c r="M979" i="2"/>
  <c r="M889" i="2"/>
  <c r="M1286" i="2"/>
  <c r="K1274" i="2"/>
  <c r="K1267" i="2"/>
  <c r="J1250" i="2"/>
  <c r="K1203" i="2"/>
  <c r="M1198" i="2"/>
  <c r="M1188" i="2"/>
  <c r="M1193" i="2"/>
  <c r="M1367" i="2"/>
  <c r="J1354" i="2"/>
  <c r="M1245" i="2"/>
  <c r="M1218" i="2"/>
  <c r="M1143" i="2"/>
  <c r="M969" i="2"/>
  <c r="K878" i="2"/>
  <c r="N878" i="2" s="1"/>
  <c r="K930" i="2"/>
  <c r="N930" i="2" s="1"/>
  <c r="K924" i="2"/>
  <c r="N924" i="2" s="1"/>
  <c r="K889" i="2"/>
  <c r="N889" i="2" s="1"/>
  <c r="M1153" i="2"/>
  <c r="K1115" i="2"/>
  <c r="N1115" i="2" s="1"/>
  <c r="M1254" i="2"/>
  <c r="J906" i="2"/>
  <c r="M1168" i="2"/>
  <c r="K1138" i="2"/>
  <c r="N1138" i="2" s="1"/>
  <c r="O1138" i="2" s="1"/>
  <c r="P1138" i="2" s="1"/>
  <c r="K984" i="2"/>
  <c r="J872" i="2"/>
  <c r="K832" i="2"/>
  <c r="K830" i="2" s="1"/>
  <c r="H1106" i="2"/>
  <c r="K1106" i="2" s="1"/>
  <c r="M1223" i="2"/>
  <c r="M1183" i="2"/>
  <c r="K1153" i="2"/>
  <c r="N1153" i="2" s="1"/>
  <c r="K1036" i="2"/>
  <c r="N1036" i="2" s="1"/>
  <c r="M954" i="2"/>
  <c r="K949" i="2"/>
  <c r="N949" i="2" s="1"/>
  <c r="O949" i="2" s="1"/>
  <c r="P949" i="2" s="1"/>
  <c r="K900" i="2"/>
  <c r="N900" i="2" s="1"/>
  <c r="K836" i="2"/>
  <c r="M974" i="2"/>
  <c r="J5" i="6"/>
  <c r="K5" i="6"/>
  <c r="J6" i="6"/>
  <c r="K6" i="6"/>
  <c r="L6" i="6" s="1"/>
  <c r="J1039" i="2" s="1"/>
  <c r="J1036" i="2" s="1"/>
  <c r="M1036" i="2" s="1"/>
  <c r="J7" i="6"/>
  <c r="K7" i="6"/>
  <c r="J8" i="6"/>
  <c r="K8" i="6"/>
  <c r="J9" i="6"/>
  <c r="K9" i="6"/>
  <c r="J10" i="6"/>
  <c r="K10" i="6"/>
  <c r="J11" i="6"/>
  <c r="K11" i="6"/>
  <c r="J12" i="6"/>
  <c r="K12" i="6"/>
  <c r="J13" i="6"/>
  <c r="K13" i="6"/>
  <c r="J14" i="6"/>
  <c r="K14" i="6"/>
  <c r="J16" i="6"/>
  <c r="K16" i="6"/>
  <c r="J17" i="6"/>
  <c r="K17" i="6"/>
  <c r="J18" i="6"/>
  <c r="K18" i="6"/>
  <c r="J19" i="6"/>
  <c r="K19" i="6"/>
  <c r="J20" i="6"/>
  <c r="K20" i="6"/>
  <c r="J21" i="6"/>
  <c r="K21" i="6"/>
  <c r="J22" i="6"/>
  <c r="K22" i="6"/>
  <c r="J23" i="6"/>
  <c r="K23" i="6"/>
  <c r="J24" i="6"/>
  <c r="K24" i="6"/>
  <c r="J25" i="6"/>
  <c r="K25" i="6"/>
  <c r="J26" i="6"/>
  <c r="K26" i="6"/>
  <c r="J27" i="6"/>
  <c r="K27" i="6"/>
  <c r="J28" i="6"/>
  <c r="K28" i="6"/>
  <c r="J29" i="6"/>
  <c r="K29" i="6"/>
  <c r="J30" i="6"/>
  <c r="K30" i="6"/>
  <c r="J31" i="6"/>
  <c r="K31" i="6"/>
  <c r="J32" i="6"/>
  <c r="K32" i="6"/>
  <c r="J33" i="6"/>
  <c r="K33" i="6"/>
  <c r="J34" i="6"/>
  <c r="K34" i="6"/>
  <c r="J35" i="6"/>
  <c r="K35" i="6"/>
  <c r="J36" i="6"/>
  <c r="K36" i="6"/>
  <c r="J37" i="6"/>
  <c r="K37" i="6"/>
  <c r="J38" i="6"/>
  <c r="K38" i="6"/>
  <c r="J39" i="6"/>
  <c r="K39" i="6"/>
  <c r="J40" i="6"/>
  <c r="K40" i="6"/>
  <c r="J41" i="6"/>
  <c r="K41" i="6"/>
  <c r="J42" i="6"/>
  <c r="K42" i="6"/>
  <c r="J43" i="6"/>
  <c r="K43" i="6"/>
  <c r="L43" i="6" s="1"/>
  <c r="J44" i="6"/>
  <c r="K44" i="6"/>
  <c r="J45" i="6"/>
  <c r="K45" i="6"/>
  <c r="J46" i="6"/>
  <c r="K46" i="6"/>
  <c r="J47" i="6"/>
  <c r="K47" i="6"/>
  <c r="J48" i="6"/>
  <c r="K48" i="6"/>
  <c r="J49" i="6"/>
  <c r="K49" i="6"/>
  <c r="J50" i="6"/>
  <c r="K50" i="6"/>
  <c r="J51" i="6"/>
  <c r="K51" i="6"/>
  <c r="J52" i="6"/>
  <c r="K52" i="6"/>
  <c r="K4" i="6"/>
  <c r="J4" i="6"/>
  <c r="L22" i="6" l="1"/>
  <c r="H1243" i="2" s="1"/>
  <c r="J1243" i="2" s="1"/>
  <c r="J1240" i="2" s="1"/>
  <c r="M1240" i="2" s="1"/>
  <c r="L9" i="6"/>
  <c r="L5" i="6"/>
  <c r="H967" i="2" s="1"/>
  <c r="J967" i="2" s="1"/>
  <c r="J964" i="2" s="1"/>
  <c r="M964" i="2" s="1"/>
  <c r="L52" i="6"/>
  <c r="H1514" i="2" s="1"/>
  <c r="J1514" i="2" s="1"/>
  <c r="J1511" i="2" s="1"/>
  <c r="M1511" i="2" s="1"/>
  <c r="O1511" i="2" s="1"/>
  <c r="P1511" i="2" s="1"/>
  <c r="L46" i="6"/>
  <c r="H1443" i="2" s="1"/>
  <c r="J1443" i="2" s="1"/>
  <c r="J1440" i="2" s="1"/>
  <c r="M1440" i="2" s="1"/>
  <c r="O1440" i="2" s="1"/>
  <c r="P1440" i="2" s="1"/>
  <c r="L49" i="6"/>
  <c r="H1495" i="2" s="1"/>
  <c r="J1495" i="2" s="1"/>
  <c r="J1492" i="2" s="1"/>
  <c r="M1492" i="2" s="1"/>
  <c r="O1492" i="2" s="1"/>
  <c r="P1492" i="2" s="1"/>
  <c r="L40" i="6"/>
  <c r="H1017" i="2" s="1"/>
  <c r="J1017" i="2" s="1"/>
  <c r="J1015" i="2" s="1"/>
  <c r="L1015" i="2" s="1"/>
  <c r="L39" i="6"/>
  <c r="L27" i="6"/>
  <c r="H1399" i="2" s="1"/>
  <c r="J1399" i="2" s="1"/>
  <c r="J1396" i="2" s="1"/>
  <c r="M1396" i="2" s="1"/>
  <c r="O1396" i="2" s="1"/>
  <c r="P1396" i="2" s="1"/>
  <c r="L30" i="6"/>
  <c r="L21" i="6"/>
  <c r="H1238" i="2" s="1"/>
  <c r="J1238" i="2" s="1"/>
  <c r="J1235" i="2" s="1"/>
  <c r="M1235" i="2" s="1"/>
  <c r="O1235" i="2" s="1"/>
  <c r="P1235" i="2" s="1"/>
  <c r="L28" i="6"/>
  <c r="H1404" i="2" s="1"/>
  <c r="J1404" i="2" s="1"/>
  <c r="J1401" i="2" s="1"/>
  <c r="M1401" i="2" s="1"/>
  <c r="O1401" i="2" s="1"/>
  <c r="P1401" i="2" s="1"/>
  <c r="L20" i="6"/>
  <c r="H1216" i="2" s="1"/>
  <c r="J1216" i="2" s="1"/>
  <c r="J1213" i="2" s="1"/>
  <c r="M1213" i="2" s="1"/>
  <c r="O1213" i="2" s="1"/>
  <c r="P1213" i="2" s="1"/>
  <c r="L16" i="6"/>
  <c r="H1122" i="2" s="1"/>
  <c r="J1122" i="2" s="1"/>
  <c r="J1120" i="2" s="1"/>
  <c r="L1120" i="2" s="1"/>
  <c r="L11" i="6"/>
  <c r="L51" i="6"/>
  <c r="H1509" i="2" s="1"/>
  <c r="J1509" i="2" s="1"/>
  <c r="J1506" i="2" s="1"/>
  <c r="M1506" i="2" s="1"/>
  <c r="O1506" i="2" s="1"/>
  <c r="P1506" i="2" s="1"/>
  <c r="L24" i="6"/>
  <c r="H1376" i="2" s="1"/>
  <c r="J1376" i="2" s="1"/>
  <c r="J1373" i="2" s="1"/>
  <c r="M1373" i="2" s="1"/>
  <c r="O1373" i="2" s="1"/>
  <c r="P1373" i="2" s="1"/>
  <c r="L19" i="6"/>
  <c r="H1134" i="2" s="1"/>
  <c r="J1134" i="2" s="1"/>
  <c r="J1132" i="2" s="1"/>
  <c r="L1132" i="2" s="1"/>
  <c r="L26" i="6"/>
  <c r="H1394" i="2" s="1"/>
  <c r="J1394" i="2" s="1"/>
  <c r="J1391" i="2" s="1"/>
  <c r="M1391" i="2" s="1"/>
  <c r="O1391" i="2" s="1"/>
  <c r="P1391" i="2" s="1"/>
  <c r="L13" i="6"/>
  <c r="H1070" i="2" s="1"/>
  <c r="J1070" i="2" s="1"/>
  <c r="L37" i="6"/>
  <c r="L12" i="6"/>
  <c r="H1096" i="2" s="1"/>
  <c r="J1096" i="2" s="1"/>
  <c r="L8" i="6"/>
  <c r="H1075" i="2" s="1"/>
  <c r="J1075" i="2" s="1"/>
  <c r="L343" i="2"/>
  <c r="M343" i="2"/>
  <c r="O343" i="2" s="1"/>
  <c r="P343" i="2" s="1"/>
  <c r="Q343" i="2" s="1"/>
  <c r="O848" i="2"/>
  <c r="P848" i="2" s="1"/>
  <c r="H1077" i="2"/>
  <c r="J1077" i="2" s="1"/>
  <c r="L33" i="6"/>
  <c r="H1436" i="2" s="1"/>
  <c r="J1436" i="2" s="1"/>
  <c r="J1433" i="2" s="1"/>
  <c r="M1433" i="2" s="1"/>
  <c r="O1433" i="2" s="1"/>
  <c r="P1433" i="2" s="1"/>
  <c r="L29" i="6"/>
  <c r="L25" i="6"/>
  <c r="H1382" i="2" s="1"/>
  <c r="J1382" i="2" s="1"/>
  <c r="J1379" i="2" s="1"/>
  <c r="M1379" i="2" s="1"/>
  <c r="O1379" i="2" s="1"/>
  <c r="P1379" i="2" s="1"/>
  <c r="L14" i="6"/>
  <c r="L4" i="6"/>
  <c r="H962" i="2" s="1"/>
  <c r="J962" i="2" s="1"/>
  <c r="J959" i="2" s="1"/>
  <c r="M959" i="2" s="1"/>
  <c r="O959" i="2" s="1"/>
  <c r="P959" i="2" s="1"/>
  <c r="L36" i="6"/>
  <c r="H1009" i="2" s="1"/>
  <c r="J1009" i="2" s="1"/>
  <c r="J1006" i="2" s="1"/>
  <c r="M1006" i="2" s="1"/>
  <c r="O1006" i="2" s="1"/>
  <c r="P1006" i="2" s="1"/>
  <c r="L32" i="6"/>
  <c r="L31" i="6"/>
  <c r="L45" i="6"/>
  <c r="L38" i="6"/>
  <c r="H1004" i="2" s="1"/>
  <c r="J1004" i="2" s="1"/>
  <c r="J1002" i="2" s="1"/>
  <c r="O974" i="2"/>
  <c r="P974" i="2" s="1"/>
  <c r="M1015" i="2"/>
  <c r="O1015" i="2" s="1"/>
  <c r="P1015" i="2" s="1"/>
  <c r="L42" i="6"/>
  <c r="H1027" i="2" s="1"/>
  <c r="J1027" i="2" s="1"/>
  <c r="J1024" i="2" s="1"/>
  <c r="M1024" i="2" s="1"/>
  <c r="O1024" i="2" s="1"/>
  <c r="P1024" i="2" s="1"/>
  <c r="L35" i="6"/>
  <c r="H999" i="2" s="1"/>
  <c r="J999" i="2" s="1"/>
  <c r="L48" i="6"/>
  <c r="J1453" i="2" s="1"/>
  <c r="J1450" i="2" s="1"/>
  <c r="M1450" i="2" s="1"/>
  <c r="O1450" i="2" s="1"/>
  <c r="P1450" i="2" s="1"/>
  <c r="L41" i="6"/>
  <c r="H1022" i="2" s="1"/>
  <c r="J1022" i="2" s="1"/>
  <c r="J1019" i="2" s="1"/>
  <c r="M1019" i="2" s="1"/>
  <c r="O1019" i="2" s="1"/>
  <c r="P1019" i="2" s="1"/>
  <c r="L34" i="6"/>
  <c r="H1000" i="2" s="1"/>
  <c r="J1000" i="2" s="1"/>
  <c r="L23" i="6"/>
  <c r="H1272" i="2" s="1"/>
  <c r="J1272" i="2" s="1"/>
  <c r="J1267" i="2" s="1"/>
  <c r="M1267" i="2" s="1"/>
  <c r="L1245" i="2"/>
  <c r="L1301" i="2"/>
  <c r="L1193" i="2"/>
  <c r="O1193" i="2"/>
  <c r="P1193" i="2" s="1"/>
  <c r="O1245" i="2"/>
  <c r="P1245" i="2" s="1"/>
  <c r="L1281" i="2"/>
  <c r="L1440" i="2"/>
  <c r="L1031" i="2"/>
  <c r="O1281" i="2"/>
  <c r="P1281" i="2" s="1"/>
  <c r="L1318" i="2"/>
  <c r="L969" i="2"/>
  <c r="O1477" i="2"/>
  <c r="P1477" i="2" s="1"/>
  <c r="O1143" i="2"/>
  <c r="P1143" i="2" s="1"/>
  <c r="L1526" i="2"/>
  <c r="L1148" i="2"/>
  <c r="L1511" i="2"/>
  <c r="L1158" i="2"/>
  <c r="O1360" i="2"/>
  <c r="P1360" i="2" s="1"/>
  <c r="O894" i="2"/>
  <c r="P894" i="2" s="1"/>
  <c r="O1158" i="2"/>
  <c r="P1158" i="2" s="1"/>
  <c r="L912" i="2"/>
  <c r="O942" i="2"/>
  <c r="P942" i="2" s="1"/>
  <c r="K1104" i="2"/>
  <c r="N1104" i="2" s="1"/>
  <c r="L1367" i="2"/>
  <c r="L1360" i="2"/>
  <c r="L1168" i="2"/>
  <c r="L942" i="2"/>
  <c r="O1218" i="2"/>
  <c r="P1218" i="2" s="1"/>
  <c r="L1183" i="2"/>
  <c r="L1218" i="2"/>
  <c r="L1188" i="2"/>
  <c r="O1516" i="2"/>
  <c r="P1516" i="2" s="1"/>
  <c r="O1324" i="2"/>
  <c r="P1324" i="2" s="1"/>
  <c r="L936" i="2"/>
  <c r="L1342" i="2"/>
  <c r="O1482" i="2"/>
  <c r="P1482" i="2" s="1"/>
  <c r="L884" i="2"/>
  <c r="L1482" i="2"/>
  <c r="L1261" i="2"/>
  <c r="O854" i="2"/>
  <c r="P854" i="2" s="1"/>
  <c r="O860" i="2"/>
  <c r="P860" i="2" s="1"/>
  <c r="L1477" i="2"/>
  <c r="L1228" i="2"/>
  <c r="L824" i="2"/>
  <c r="O1240" i="2"/>
  <c r="P1240" i="2" s="1"/>
  <c r="L1240" i="2"/>
  <c r="L848" i="2"/>
  <c r="O1342" i="2"/>
  <c r="P1342" i="2" s="1"/>
  <c r="O1286" i="2"/>
  <c r="P1286" i="2" s="1"/>
  <c r="L989" i="2"/>
  <c r="L974" i="2"/>
  <c r="O979" i="2"/>
  <c r="P979" i="2" s="1"/>
  <c r="O1291" i="2"/>
  <c r="P1291" i="2" s="1"/>
  <c r="L1455" i="2"/>
  <c r="L1460" i="2"/>
  <c r="L1223" i="2"/>
  <c r="O936" i="2"/>
  <c r="P936" i="2" s="1"/>
  <c r="O924" i="2"/>
  <c r="P924" i="2" s="1"/>
  <c r="L1291" i="2"/>
  <c r="O1330" i="2"/>
  <c r="P1330" i="2" s="1"/>
  <c r="L854" i="2"/>
  <c r="L964" i="2"/>
  <c r="L918" i="2"/>
  <c r="O918" i="2"/>
  <c r="P918" i="2" s="1"/>
  <c r="O1520" i="2"/>
  <c r="P1520" i="2" s="1"/>
  <c r="L1385" i="2"/>
  <c r="L1178" i="2"/>
  <c r="O1312" i="2"/>
  <c r="P1312" i="2" s="1"/>
  <c r="O1183" i="2"/>
  <c r="P1183" i="2" s="1"/>
  <c r="M912" i="2"/>
  <c r="O912" i="2" s="1"/>
  <c r="P912" i="2" s="1"/>
  <c r="L1198" i="2"/>
  <c r="O1526" i="2"/>
  <c r="P1526" i="2" s="1"/>
  <c r="L1428" i="2"/>
  <c r="O969" i="2"/>
  <c r="P969" i="2" s="1"/>
  <c r="O900" i="2"/>
  <c r="P900" i="2" s="1"/>
  <c r="L1153" i="2"/>
  <c r="O1208" i="2"/>
  <c r="P1208" i="2" s="1"/>
  <c r="M1385" i="2"/>
  <c r="O1385" i="2" s="1"/>
  <c r="P1385" i="2" s="1"/>
  <c r="L1208" i="2"/>
  <c r="O1188" i="2"/>
  <c r="P1188" i="2" s="1"/>
  <c r="L1143" i="2"/>
  <c r="O1198" i="2"/>
  <c r="P1198" i="2" s="1"/>
  <c r="O1460" i="2"/>
  <c r="P1460" i="2" s="1"/>
  <c r="O1428" i="2"/>
  <c r="P1428" i="2" s="1"/>
  <c r="O1036" i="2"/>
  <c r="P1036" i="2" s="1"/>
  <c r="L866" i="2"/>
  <c r="L979" i="2"/>
  <c r="L1324" i="2"/>
  <c r="L1330" i="2"/>
  <c r="O1318" i="2"/>
  <c r="P1318" i="2" s="1"/>
  <c r="O1168" i="2"/>
  <c r="P1168" i="2" s="1"/>
  <c r="O1367" i="2"/>
  <c r="P1367" i="2" s="1"/>
  <c r="L1286" i="2"/>
  <c r="L1312" i="2"/>
  <c r="O1178" i="2"/>
  <c r="P1178" i="2" s="1"/>
  <c r="O1455" i="2"/>
  <c r="P1455" i="2" s="1"/>
  <c r="L860" i="2"/>
  <c r="L1406" i="2"/>
  <c r="O1173" i="2"/>
  <c r="P1173" i="2" s="1"/>
  <c r="L1296" i="2"/>
  <c r="O954" i="2"/>
  <c r="P954" i="2" s="1"/>
  <c r="L894" i="2"/>
  <c r="L954" i="2"/>
  <c r="O1223" i="2"/>
  <c r="P1223" i="2" s="1"/>
  <c r="L1036" i="2"/>
  <c r="O878" i="2"/>
  <c r="P878" i="2" s="1"/>
  <c r="O1261" i="2"/>
  <c r="P1261" i="2" s="1"/>
  <c r="O1487" i="2"/>
  <c r="P1487" i="2" s="1"/>
  <c r="L1254" i="2"/>
  <c r="L1419" i="2"/>
  <c r="O1414" i="2"/>
  <c r="P1414" i="2" s="1"/>
  <c r="L1487" i="2"/>
  <c r="L1348" i="2"/>
  <c r="L889" i="2"/>
  <c r="L1414" i="2"/>
  <c r="L1163" i="2"/>
  <c r="L1465" i="2"/>
  <c r="L1138" i="2"/>
  <c r="O1348" i="2"/>
  <c r="P1348" i="2" s="1"/>
  <c r="O964" i="2"/>
  <c r="P964" i="2" s="1"/>
  <c r="O1254" i="2"/>
  <c r="P1254" i="2" s="1"/>
  <c r="O1465" i="2"/>
  <c r="P1465" i="2" s="1"/>
  <c r="L1516" i="2"/>
  <c r="L842" i="2"/>
  <c r="M842" i="2"/>
  <c r="O842" i="2" s="1"/>
  <c r="P842" i="2" s="1"/>
  <c r="O866" i="2"/>
  <c r="P866" i="2" s="1"/>
  <c r="L1520" i="2"/>
  <c r="L1173" i="2"/>
  <c r="O1419" i="2"/>
  <c r="P1419" i="2" s="1"/>
  <c r="L924" i="2"/>
  <c r="L900" i="2"/>
  <c r="N1336" i="2"/>
  <c r="O1336" i="2" s="1"/>
  <c r="P1336" i="2" s="1"/>
  <c r="L1336" i="2"/>
  <c r="L949" i="2"/>
  <c r="L1250" i="2"/>
  <c r="M1250" i="2"/>
  <c r="O1250" i="2" s="1"/>
  <c r="P1250" i="2" s="1"/>
  <c r="N830" i="2"/>
  <c r="L830" i="2"/>
  <c r="M872" i="2"/>
  <c r="O872" i="2" s="1"/>
  <c r="P872" i="2" s="1"/>
  <c r="L872" i="2"/>
  <c r="L906" i="2"/>
  <c r="M906" i="2"/>
  <c r="O906" i="2" s="1"/>
  <c r="P906" i="2" s="1"/>
  <c r="N984" i="2"/>
  <c r="O984" i="2" s="1"/>
  <c r="P984" i="2" s="1"/>
  <c r="L984" i="2"/>
  <c r="L1354" i="2"/>
  <c r="M1354" i="2"/>
  <c r="O1354" i="2" s="1"/>
  <c r="P1354" i="2" s="1"/>
  <c r="L878" i="2"/>
  <c r="N1203" i="2"/>
  <c r="O1203" i="2" s="1"/>
  <c r="P1203" i="2" s="1"/>
  <c r="L1203" i="2"/>
  <c r="N1267" i="2"/>
  <c r="L1470" i="2"/>
  <c r="N1470" i="2"/>
  <c r="O1470" i="2" s="1"/>
  <c r="P1470" i="2" s="1"/>
  <c r="N836" i="2"/>
  <c r="O836" i="2" s="1"/>
  <c r="P836" i="2" s="1"/>
  <c r="L836" i="2"/>
  <c r="O824" i="2"/>
  <c r="P824" i="2" s="1"/>
  <c r="O930" i="2"/>
  <c r="P930" i="2" s="1"/>
  <c r="N1274" i="2"/>
  <c r="O1274" i="2" s="1"/>
  <c r="P1274" i="2" s="1"/>
  <c r="L1274" i="2"/>
  <c r="L1306" i="2"/>
  <c r="M1306" i="2"/>
  <c r="O1306" i="2" s="1"/>
  <c r="P1306" i="2" s="1"/>
  <c r="O1153" i="2"/>
  <c r="P1153" i="2" s="1"/>
  <c r="L930" i="2"/>
  <c r="O889" i="2"/>
  <c r="P889" i="2" s="1"/>
  <c r="L1396" i="2"/>
  <c r="L10" i="6"/>
  <c r="L18" i="6"/>
  <c r="H1130" i="2" s="1"/>
  <c r="J1130" i="2" s="1"/>
  <c r="J1128" i="2" s="1"/>
  <c r="L50" i="6"/>
  <c r="H1500" i="2" s="1"/>
  <c r="J1500" i="2" s="1"/>
  <c r="J1497" i="2" s="1"/>
  <c r="M1497" i="2" s="1"/>
  <c r="O1497" i="2" s="1"/>
  <c r="P1497" i="2" s="1"/>
  <c r="L47" i="6"/>
  <c r="H1448" i="2" s="1"/>
  <c r="J1448" i="2" s="1"/>
  <c r="J1445" i="2" s="1"/>
  <c r="M1445" i="2" s="1"/>
  <c r="O1445" i="2" s="1"/>
  <c r="P1445" i="2" s="1"/>
  <c r="L44" i="6"/>
  <c r="H1013" i="2" s="1"/>
  <c r="J1013" i="2" s="1"/>
  <c r="J1011" i="2" s="1"/>
  <c r="L17" i="6"/>
  <c r="H1126" i="2" s="1"/>
  <c r="J1126" i="2" s="1"/>
  <c r="J1124" i="2" s="1"/>
  <c r="L7" i="6"/>
  <c r="B31" i="1"/>
  <c r="A31" i="1"/>
  <c r="B30" i="1"/>
  <c r="A30" i="1"/>
  <c r="B29" i="1"/>
  <c r="A29" i="1"/>
  <c r="B28" i="1"/>
  <c r="A28" i="1"/>
  <c r="B27" i="1"/>
  <c r="A27" i="1"/>
  <c r="B26" i="1"/>
  <c r="A26" i="1"/>
  <c r="B25" i="1"/>
  <c r="A25" i="1"/>
  <c r="B24" i="1"/>
  <c r="A24" i="1"/>
  <c r="B23" i="1"/>
  <c r="A23" i="1"/>
  <c r="B22" i="1"/>
  <c r="A22" i="1"/>
  <c r="B21" i="1"/>
  <c r="A21" i="1"/>
  <c r="I15" i="6"/>
  <c r="G15" i="6"/>
  <c r="E15" i="6"/>
  <c r="C55" i="4"/>
  <c r="B55" i="4"/>
  <c r="B57" i="4" s="1"/>
  <c r="A55" i="4"/>
  <c r="B48" i="4"/>
  <c r="B50" i="4" s="1"/>
  <c r="C48" i="4"/>
  <c r="A48" i="4"/>
  <c r="B34" i="4"/>
  <c r="B36" i="4" s="1"/>
  <c r="A34" i="4"/>
  <c r="C29" i="4"/>
  <c r="C34" i="4" s="1"/>
  <c r="C18" i="4"/>
  <c r="C17" i="4"/>
  <c r="C16" i="4"/>
  <c r="I12" i="3"/>
  <c r="H510" i="2" s="1"/>
  <c r="J510" i="2" s="1"/>
  <c r="H12" i="3"/>
  <c r="I11" i="3"/>
  <c r="H420" i="2" s="1"/>
  <c r="J420" i="2" s="1"/>
  <c r="H11" i="3"/>
  <c r="I10" i="3"/>
  <c r="H10" i="3"/>
  <c r="H418" i="2" s="1"/>
  <c r="J418" i="2" s="1"/>
  <c r="I9" i="3"/>
  <c r="H416" i="2" s="1"/>
  <c r="H9" i="3"/>
  <c r="G8" i="3"/>
  <c r="E8" i="3"/>
  <c r="C8" i="3"/>
  <c r="G7" i="3"/>
  <c r="E7" i="3"/>
  <c r="C7" i="3"/>
  <c r="I6" i="3"/>
  <c r="H804" i="2" s="1"/>
  <c r="J804" i="2" s="1"/>
  <c r="H6" i="3"/>
  <c r="I5" i="3"/>
  <c r="H5" i="3"/>
  <c r="H226" i="2" s="1"/>
  <c r="J226" i="2" s="1"/>
  <c r="I4" i="3"/>
  <c r="H795" i="2" s="1"/>
  <c r="J795" i="2" s="1"/>
  <c r="H4" i="3"/>
  <c r="I3" i="3"/>
  <c r="H597" i="2" s="1"/>
  <c r="J597" i="2" s="1"/>
  <c r="H3" i="3"/>
  <c r="J820" i="2"/>
  <c r="K819" i="2"/>
  <c r="K818" i="2" s="1"/>
  <c r="N818" i="2" s="1"/>
  <c r="J819" i="2"/>
  <c r="J816" i="2"/>
  <c r="K815" i="2"/>
  <c r="K814" i="2" s="1"/>
  <c r="N814" i="2" s="1"/>
  <c r="J815" i="2"/>
  <c r="J812" i="2"/>
  <c r="K811" i="2"/>
  <c r="J811" i="2"/>
  <c r="K810" i="2"/>
  <c r="J810" i="2"/>
  <c r="K809" i="2"/>
  <c r="J809" i="2"/>
  <c r="K803" i="2"/>
  <c r="J803" i="2"/>
  <c r="K802" i="2"/>
  <c r="J802" i="2"/>
  <c r="K799" i="2"/>
  <c r="J799" i="2"/>
  <c r="K798" i="2"/>
  <c r="J798" i="2"/>
  <c r="K794" i="2"/>
  <c r="J794" i="2"/>
  <c r="K793" i="2"/>
  <c r="J793" i="2"/>
  <c r="J790" i="2"/>
  <c r="J789" i="2"/>
  <c r="J788" i="2"/>
  <c r="J787" i="2"/>
  <c r="J786" i="2"/>
  <c r="J785" i="2"/>
  <c r="K784" i="2"/>
  <c r="J784" i="2"/>
  <c r="K783" i="2"/>
  <c r="J783" i="2"/>
  <c r="K782" i="2"/>
  <c r="J782" i="2"/>
  <c r="K781" i="2"/>
  <c r="J781" i="2"/>
  <c r="J777" i="2"/>
  <c r="J776" i="2"/>
  <c r="J775" i="2"/>
  <c r="J774" i="2"/>
  <c r="J773" i="2"/>
  <c r="J772" i="2"/>
  <c r="K771" i="2"/>
  <c r="J771" i="2"/>
  <c r="K770" i="2"/>
  <c r="J770" i="2"/>
  <c r="K769" i="2"/>
  <c r="J769" i="2"/>
  <c r="K768" i="2"/>
  <c r="J768" i="2"/>
  <c r="J762" i="2"/>
  <c r="K761" i="2"/>
  <c r="J761" i="2"/>
  <c r="K760" i="2"/>
  <c r="J760" i="2"/>
  <c r="J757" i="2"/>
  <c r="K756" i="2"/>
  <c r="K755" i="2" s="1"/>
  <c r="N755" i="2" s="1"/>
  <c r="J756" i="2"/>
  <c r="J753" i="2"/>
  <c r="J752" i="2"/>
  <c r="K751" i="2"/>
  <c r="K750" i="2" s="1"/>
  <c r="N750" i="2" s="1"/>
  <c r="J751" i="2"/>
  <c r="J748" i="2"/>
  <c r="J747" i="2"/>
  <c r="K746" i="2"/>
  <c r="K745" i="2" s="1"/>
  <c r="N745" i="2" s="1"/>
  <c r="J746" i="2"/>
  <c r="J743" i="2"/>
  <c r="K742" i="2"/>
  <c r="J742" i="2"/>
  <c r="K741" i="2"/>
  <c r="J741" i="2"/>
  <c r="J738" i="2"/>
  <c r="K737" i="2"/>
  <c r="J737" i="2"/>
  <c r="K736" i="2"/>
  <c r="J736" i="2"/>
  <c r="J733" i="2"/>
  <c r="K732" i="2"/>
  <c r="J732" i="2"/>
  <c r="K731" i="2"/>
  <c r="J731" i="2"/>
  <c r="J728" i="2"/>
  <c r="K727" i="2"/>
  <c r="J727" i="2"/>
  <c r="K726" i="2"/>
  <c r="J726" i="2"/>
  <c r="J722" i="2"/>
  <c r="K721" i="2"/>
  <c r="K720" i="2" s="1"/>
  <c r="N720" i="2" s="1"/>
  <c r="J721" i="2"/>
  <c r="J718" i="2"/>
  <c r="K717" i="2"/>
  <c r="K716" i="2" s="1"/>
  <c r="N716" i="2" s="1"/>
  <c r="J717" i="2"/>
  <c r="J714" i="2"/>
  <c r="J713" i="2"/>
  <c r="K712" i="2"/>
  <c r="J712" i="2"/>
  <c r="K711" i="2"/>
  <c r="J711" i="2"/>
  <c r="J708" i="2"/>
  <c r="J707" i="2"/>
  <c r="K706" i="2"/>
  <c r="J706" i="2"/>
  <c r="K705" i="2"/>
  <c r="J705" i="2"/>
  <c r="J700" i="2"/>
  <c r="J699" i="2"/>
  <c r="K698" i="2"/>
  <c r="J698" i="2"/>
  <c r="K697" i="2"/>
  <c r="J697" i="2"/>
  <c r="J694" i="2"/>
  <c r="J693" i="2"/>
  <c r="J692" i="2"/>
  <c r="J691" i="2"/>
  <c r="K690" i="2"/>
  <c r="J690" i="2"/>
  <c r="K689" i="2"/>
  <c r="J689" i="2"/>
  <c r="J686" i="2"/>
  <c r="K685" i="2"/>
  <c r="J685" i="2"/>
  <c r="K684" i="2"/>
  <c r="J684" i="2"/>
  <c r="J681" i="2"/>
  <c r="J680" i="2"/>
  <c r="K679" i="2"/>
  <c r="J679" i="2"/>
  <c r="K678" i="2"/>
  <c r="J678" i="2"/>
  <c r="J675" i="2"/>
  <c r="J674" i="2"/>
  <c r="K673" i="2"/>
  <c r="J673" i="2"/>
  <c r="K672" i="2"/>
  <c r="J672" i="2"/>
  <c r="J669" i="2"/>
  <c r="J668" i="2"/>
  <c r="K667" i="2"/>
  <c r="J667" i="2"/>
  <c r="K666" i="2"/>
  <c r="J666" i="2"/>
  <c r="J663" i="2"/>
  <c r="J662" i="2"/>
  <c r="J661" i="2"/>
  <c r="J660" i="2"/>
  <c r="K659" i="2"/>
  <c r="J659" i="2"/>
  <c r="K658" i="2"/>
  <c r="J658" i="2"/>
  <c r="J655" i="2"/>
  <c r="J654" i="2"/>
  <c r="J653" i="2"/>
  <c r="J652" i="2"/>
  <c r="K651" i="2"/>
  <c r="J651" i="2"/>
  <c r="K650" i="2"/>
  <c r="J650" i="2"/>
  <c r="K647" i="2"/>
  <c r="J647" i="2"/>
  <c r="K646" i="2"/>
  <c r="J646" i="2"/>
  <c r="K645" i="2"/>
  <c r="J645" i="2"/>
  <c r="K644" i="2"/>
  <c r="J644" i="2"/>
  <c r="K643" i="2"/>
  <c r="J643" i="2"/>
  <c r="K642" i="2"/>
  <c r="J642" i="2"/>
  <c r="K641" i="2"/>
  <c r="J641" i="2"/>
  <c r="K640" i="2"/>
  <c r="J640" i="2"/>
  <c r="K637" i="2"/>
  <c r="J637" i="2"/>
  <c r="K636" i="2"/>
  <c r="J636" i="2"/>
  <c r="K635" i="2"/>
  <c r="J635" i="2"/>
  <c r="K634" i="2"/>
  <c r="J634" i="2"/>
  <c r="K633" i="2"/>
  <c r="J633" i="2"/>
  <c r="K632" i="2"/>
  <c r="J632" i="2"/>
  <c r="K631" i="2"/>
  <c r="J631" i="2"/>
  <c r="K630" i="2"/>
  <c r="J630" i="2"/>
  <c r="K629" i="2"/>
  <c r="J629" i="2"/>
  <c r="K628" i="2"/>
  <c r="J628" i="2"/>
  <c r="K627" i="2"/>
  <c r="J627" i="2"/>
  <c r="K624" i="2"/>
  <c r="J624" i="2"/>
  <c r="K623" i="2"/>
  <c r="J623" i="2"/>
  <c r="K622" i="2"/>
  <c r="J622" i="2"/>
  <c r="K621" i="2"/>
  <c r="J621" i="2"/>
  <c r="K620" i="2"/>
  <c r="J620" i="2"/>
  <c r="K619" i="2"/>
  <c r="J619" i="2"/>
  <c r="K618" i="2"/>
  <c r="J618" i="2"/>
  <c r="K617" i="2"/>
  <c r="J617" i="2"/>
  <c r="K616" i="2"/>
  <c r="J616" i="2"/>
  <c r="K615" i="2"/>
  <c r="J615" i="2"/>
  <c r="K614" i="2"/>
  <c r="J614" i="2"/>
  <c r="K613" i="2"/>
  <c r="J613" i="2"/>
  <c r="K612" i="2"/>
  <c r="J612" i="2"/>
  <c r="K611" i="2"/>
  <c r="J611" i="2"/>
  <c r="K610" i="2"/>
  <c r="J610" i="2"/>
  <c r="K609" i="2"/>
  <c r="J609" i="2"/>
  <c r="K608" i="2"/>
  <c r="J608" i="2"/>
  <c r="K607" i="2"/>
  <c r="J607" i="2"/>
  <c r="K606" i="2"/>
  <c r="J606" i="2"/>
  <c r="K605" i="2"/>
  <c r="J605" i="2"/>
  <c r="K604" i="2"/>
  <c r="J604" i="2"/>
  <c r="K603" i="2"/>
  <c r="J603" i="2"/>
  <c r="K602" i="2"/>
  <c r="J602" i="2"/>
  <c r="K601" i="2"/>
  <c r="J601" i="2"/>
  <c r="K600" i="2"/>
  <c r="J600" i="2"/>
  <c r="K596" i="2"/>
  <c r="J596" i="2"/>
  <c r="K595" i="2"/>
  <c r="J595" i="2"/>
  <c r="J592" i="2"/>
  <c r="J591" i="2"/>
  <c r="J590" i="2"/>
  <c r="J589" i="2"/>
  <c r="K588" i="2"/>
  <c r="J588" i="2"/>
  <c r="K587" i="2"/>
  <c r="J587" i="2"/>
  <c r="J584" i="2"/>
  <c r="J583" i="2"/>
  <c r="K582" i="2"/>
  <c r="J582" i="2"/>
  <c r="K581" i="2"/>
  <c r="J581" i="2"/>
  <c r="J578" i="2"/>
  <c r="J577" i="2"/>
  <c r="K576" i="2"/>
  <c r="J576" i="2"/>
  <c r="K575" i="2"/>
  <c r="J575" i="2"/>
  <c r="J572" i="2"/>
  <c r="J571" i="2"/>
  <c r="K570" i="2"/>
  <c r="J570" i="2"/>
  <c r="K569" i="2"/>
  <c r="J569" i="2"/>
  <c r="J566" i="2"/>
  <c r="J565" i="2"/>
  <c r="K564" i="2"/>
  <c r="J564" i="2"/>
  <c r="K563" i="2"/>
  <c r="J563" i="2"/>
  <c r="J560" i="2"/>
  <c r="J559" i="2"/>
  <c r="K558" i="2"/>
  <c r="J558" i="2"/>
  <c r="K557" i="2"/>
  <c r="J557" i="2"/>
  <c r="J554" i="2"/>
  <c r="J553" i="2"/>
  <c r="K552" i="2"/>
  <c r="J552" i="2"/>
  <c r="K551" i="2"/>
  <c r="J551" i="2"/>
  <c r="J548" i="2"/>
  <c r="J547" i="2"/>
  <c r="K546" i="2"/>
  <c r="J546" i="2"/>
  <c r="K545" i="2"/>
  <c r="J545" i="2"/>
  <c r="J541" i="2"/>
  <c r="K540" i="2"/>
  <c r="J540" i="2"/>
  <c r="K539" i="2"/>
  <c r="J539" i="2"/>
  <c r="J536" i="2"/>
  <c r="J535" i="2"/>
  <c r="J534" i="2"/>
  <c r="K533" i="2"/>
  <c r="J533" i="2"/>
  <c r="K532" i="2"/>
  <c r="J532" i="2"/>
  <c r="K529" i="2"/>
  <c r="J529" i="2"/>
  <c r="K528" i="2"/>
  <c r="J528" i="2"/>
  <c r="K527" i="2"/>
  <c r="J527" i="2"/>
  <c r="K526" i="2"/>
  <c r="J526" i="2"/>
  <c r="K525" i="2"/>
  <c r="J525" i="2"/>
  <c r="K522" i="2"/>
  <c r="J522" i="2"/>
  <c r="K521" i="2"/>
  <c r="J521" i="2"/>
  <c r="J518" i="2"/>
  <c r="K517" i="2"/>
  <c r="K516" i="2" s="1"/>
  <c r="N516" i="2" s="1"/>
  <c r="J517" i="2"/>
  <c r="J512" i="2"/>
  <c r="J511" i="2"/>
  <c r="K509" i="2"/>
  <c r="J509" i="2"/>
  <c r="K508" i="2"/>
  <c r="J508" i="2"/>
  <c r="J505" i="2"/>
  <c r="J504" i="2"/>
  <c r="J503" i="2"/>
  <c r="K502" i="2"/>
  <c r="J502" i="2"/>
  <c r="K501" i="2"/>
  <c r="J501" i="2"/>
  <c r="J498" i="2"/>
  <c r="J497" i="2"/>
  <c r="J496" i="2"/>
  <c r="K495" i="2"/>
  <c r="J495" i="2"/>
  <c r="K494" i="2"/>
  <c r="J494" i="2"/>
  <c r="K493" i="2"/>
  <c r="J493" i="2"/>
  <c r="J490" i="2"/>
  <c r="K489" i="2"/>
  <c r="J489" i="2"/>
  <c r="K488" i="2"/>
  <c r="J488" i="2"/>
  <c r="K487" i="2"/>
  <c r="J487" i="2"/>
  <c r="J484" i="2"/>
  <c r="J483" i="2"/>
  <c r="J482" i="2"/>
  <c r="K481" i="2"/>
  <c r="J481" i="2"/>
  <c r="K480" i="2"/>
  <c r="J480" i="2"/>
  <c r="J477" i="2"/>
  <c r="J476" i="2"/>
  <c r="J475" i="2"/>
  <c r="K474" i="2"/>
  <c r="J474" i="2"/>
  <c r="K473" i="2"/>
  <c r="J473" i="2"/>
  <c r="J470" i="2"/>
  <c r="J469" i="2"/>
  <c r="J468" i="2"/>
  <c r="J467" i="2"/>
  <c r="K466" i="2"/>
  <c r="J466" i="2"/>
  <c r="K465" i="2"/>
  <c r="J465" i="2"/>
  <c r="J462" i="2"/>
  <c r="J461" i="2"/>
  <c r="J460" i="2"/>
  <c r="J459" i="2"/>
  <c r="K458" i="2"/>
  <c r="J458" i="2"/>
  <c r="K457" i="2"/>
  <c r="J457" i="2"/>
  <c r="J454" i="2"/>
  <c r="J453" i="2"/>
  <c r="J452" i="2"/>
  <c r="K451" i="2"/>
  <c r="J451" i="2"/>
  <c r="K450" i="2"/>
  <c r="J450" i="2"/>
  <c r="G446" i="2"/>
  <c r="J446" i="2" s="1"/>
  <c r="K445" i="2"/>
  <c r="J445" i="2"/>
  <c r="K444" i="2"/>
  <c r="J444" i="2"/>
  <c r="K443" i="2"/>
  <c r="J443" i="2"/>
  <c r="K440" i="2"/>
  <c r="J440" i="2"/>
  <c r="K439" i="2"/>
  <c r="J439" i="2"/>
  <c r="K438" i="2"/>
  <c r="J438" i="2"/>
  <c r="K437" i="2"/>
  <c r="J437" i="2"/>
  <c r="K434" i="2"/>
  <c r="J434" i="2"/>
  <c r="J433" i="2"/>
  <c r="J432" i="2"/>
  <c r="K431" i="2"/>
  <c r="J431" i="2"/>
  <c r="K430" i="2"/>
  <c r="J430" i="2"/>
  <c r="K427" i="2"/>
  <c r="J427" i="2"/>
  <c r="K426" i="2"/>
  <c r="J426" i="2"/>
  <c r="K425" i="2"/>
  <c r="J425" i="2"/>
  <c r="K424" i="2"/>
  <c r="J424" i="2"/>
  <c r="J416" i="2"/>
  <c r="K416" i="2" s="1"/>
  <c r="N416" i="2" s="1"/>
  <c r="J412" i="2"/>
  <c r="J411" i="2"/>
  <c r="K410" i="2"/>
  <c r="J410" i="2"/>
  <c r="K409" i="2"/>
  <c r="J409" i="2"/>
  <c r="K408" i="2"/>
  <c r="J408" i="2"/>
  <c r="K407" i="2"/>
  <c r="J407" i="2"/>
  <c r="J404" i="2"/>
  <c r="J403" i="2"/>
  <c r="J402" i="2"/>
  <c r="J401" i="2"/>
  <c r="K400" i="2"/>
  <c r="J400" i="2"/>
  <c r="K399" i="2"/>
  <c r="J399" i="2"/>
  <c r="J396" i="2"/>
  <c r="K395" i="2"/>
  <c r="J395" i="2"/>
  <c r="K394" i="2"/>
  <c r="J394" i="2"/>
  <c r="K393" i="2"/>
  <c r="J393" i="2"/>
  <c r="J390" i="2"/>
  <c r="K389" i="2"/>
  <c r="J389" i="2"/>
  <c r="K388" i="2"/>
  <c r="J388" i="2"/>
  <c r="J385" i="2"/>
  <c r="K384" i="2"/>
  <c r="J384" i="2"/>
  <c r="K383" i="2"/>
  <c r="J383" i="2"/>
  <c r="J378" i="2"/>
  <c r="J377" i="2"/>
  <c r="J376" i="2"/>
  <c r="K375" i="2"/>
  <c r="J375" i="2"/>
  <c r="K374" i="2"/>
  <c r="J374" i="2"/>
  <c r="J371" i="2"/>
  <c r="J370" i="2"/>
  <c r="J369" i="2"/>
  <c r="J368" i="2"/>
  <c r="J367" i="2"/>
  <c r="K366" i="2"/>
  <c r="J366" i="2"/>
  <c r="K365" i="2"/>
  <c r="J365" i="2"/>
  <c r="K364" i="2"/>
  <c r="J364" i="2"/>
  <c r="K363" i="2"/>
  <c r="J363" i="2"/>
  <c r="J360" i="2"/>
  <c r="J359" i="2"/>
  <c r="J358" i="2"/>
  <c r="J357" i="2"/>
  <c r="J356" i="2"/>
  <c r="K355" i="2"/>
  <c r="J355" i="2"/>
  <c r="K354" i="2"/>
  <c r="J354" i="2"/>
  <c r="K353" i="2"/>
  <c r="J353" i="2"/>
  <c r="K352" i="2"/>
  <c r="J352" i="2"/>
  <c r="J341" i="2"/>
  <c r="J340" i="2"/>
  <c r="J339" i="2"/>
  <c r="K338" i="2"/>
  <c r="J338" i="2"/>
  <c r="K337" i="2"/>
  <c r="J337" i="2"/>
  <c r="K336" i="2"/>
  <c r="J336" i="2"/>
  <c r="K335" i="2"/>
  <c r="J335" i="2"/>
  <c r="J332" i="2"/>
  <c r="K331" i="2"/>
  <c r="J331" i="2"/>
  <c r="K330" i="2"/>
  <c r="J330" i="2"/>
  <c r="K329" i="2"/>
  <c r="J329" i="2"/>
  <c r="K328" i="2"/>
  <c r="J328" i="2"/>
  <c r="J324" i="2"/>
  <c r="J323" i="2"/>
  <c r="J322" i="2"/>
  <c r="K321" i="2"/>
  <c r="J321" i="2"/>
  <c r="K320" i="2"/>
  <c r="J320" i="2"/>
  <c r="J317" i="2"/>
  <c r="J316" i="2"/>
  <c r="J315" i="2"/>
  <c r="J314" i="2"/>
  <c r="J313" i="2"/>
  <c r="J312" i="2"/>
  <c r="J311" i="2"/>
  <c r="J310" i="2"/>
  <c r="J309" i="2"/>
  <c r="K308" i="2"/>
  <c r="J308" i="2"/>
  <c r="K307" i="2"/>
  <c r="J307" i="2"/>
  <c r="K306" i="2"/>
  <c r="J306" i="2"/>
  <c r="J303" i="2"/>
  <c r="J302" i="2"/>
  <c r="J301" i="2"/>
  <c r="J300" i="2"/>
  <c r="J299" i="2"/>
  <c r="J298" i="2"/>
  <c r="K297" i="2"/>
  <c r="J297" i="2"/>
  <c r="K296" i="2"/>
  <c r="J296" i="2"/>
  <c r="K295" i="2"/>
  <c r="J295" i="2"/>
  <c r="K294" i="2"/>
  <c r="J294" i="2"/>
  <c r="J288" i="2"/>
  <c r="J282" i="2" s="1"/>
  <c r="J278" i="2"/>
  <c r="J277" i="2"/>
  <c r="J276" i="2"/>
  <c r="J275" i="2"/>
  <c r="J274" i="2"/>
  <c r="J273" i="2"/>
  <c r="J272" i="2"/>
  <c r="K271" i="2"/>
  <c r="J271" i="2"/>
  <c r="K270" i="2"/>
  <c r="J270" i="2"/>
  <c r="J267" i="2"/>
  <c r="K266" i="2"/>
  <c r="J266" i="2"/>
  <c r="K265" i="2"/>
  <c r="J265" i="2"/>
  <c r="J262" i="2"/>
  <c r="J261" i="2"/>
  <c r="J260" i="2"/>
  <c r="K259" i="2"/>
  <c r="J259" i="2"/>
  <c r="K258" i="2"/>
  <c r="J258" i="2"/>
  <c r="J253" i="2"/>
  <c r="J252" i="2"/>
  <c r="J251" i="2"/>
  <c r="K250" i="2"/>
  <c r="J250" i="2"/>
  <c r="K249" i="2"/>
  <c r="J249" i="2"/>
  <c r="J246" i="2"/>
  <c r="K245" i="2"/>
  <c r="J245" i="2"/>
  <c r="K244" i="2"/>
  <c r="J244" i="2"/>
  <c r="K243" i="2"/>
  <c r="J243" i="2"/>
  <c r="J240" i="2"/>
  <c r="J239" i="2"/>
  <c r="J238" i="2"/>
  <c r="K237" i="2"/>
  <c r="J237" i="2"/>
  <c r="K236" i="2"/>
  <c r="J236" i="2"/>
  <c r="J233" i="2"/>
  <c r="J232" i="2"/>
  <c r="J231" i="2"/>
  <c r="K230" i="2"/>
  <c r="J230" i="2"/>
  <c r="K229" i="2"/>
  <c r="J229" i="2"/>
  <c r="K225" i="2"/>
  <c r="K224" i="2" s="1"/>
  <c r="N224" i="2" s="1"/>
  <c r="J225" i="2"/>
  <c r="J222" i="2"/>
  <c r="J221" i="2"/>
  <c r="K220" i="2"/>
  <c r="J220" i="2"/>
  <c r="K219" i="2"/>
  <c r="J219" i="2"/>
  <c r="J216" i="2"/>
  <c r="J215" i="2"/>
  <c r="J214" i="2"/>
  <c r="K213" i="2"/>
  <c r="J213" i="2"/>
  <c r="K212" i="2"/>
  <c r="J212" i="2"/>
  <c r="J209" i="2"/>
  <c r="K208" i="2"/>
  <c r="K207" i="2" s="1"/>
  <c r="N207" i="2" s="1"/>
  <c r="J208" i="2"/>
  <c r="J205" i="2"/>
  <c r="J204" i="2"/>
  <c r="J203" i="2"/>
  <c r="K202" i="2"/>
  <c r="J202" i="2"/>
  <c r="K201" i="2"/>
  <c r="J201" i="2"/>
  <c r="J196" i="2"/>
  <c r="K195" i="2"/>
  <c r="J195" i="2"/>
  <c r="K194" i="2"/>
  <c r="J194" i="2"/>
  <c r="J191" i="2"/>
  <c r="K190" i="2"/>
  <c r="J190" i="2"/>
  <c r="K189" i="2"/>
  <c r="J189" i="2"/>
  <c r="J186" i="2"/>
  <c r="J185" i="2"/>
  <c r="J184" i="2"/>
  <c r="J183" i="2"/>
  <c r="J182" i="2"/>
  <c r="J181" i="2"/>
  <c r="J180" i="2"/>
  <c r="J179" i="2"/>
  <c r="K178" i="2"/>
  <c r="J178" i="2"/>
  <c r="K177" i="2"/>
  <c r="J177" i="2"/>
  <c r="J174" i="2"/>
  <c r="J173" i="2"/>
  <c r="J172" i="2"/>
  <c r="J171" i="2"/>
  <c r="J170" i="2"/>
  <c r="J169" i="2"/>
  <c r="J168" i="2"/>
  <c r="J167" i="2"/>
  <c r="J166" i="2"/>
  <c r="K165" i="2"/>
  <c r="J165" i="2"/>
  <c r="K164" i="2"/>
  <c r="J164" i="2"/>
  <c r="J161" i="2"/>
  <c r="K160" i="2"/>
  <c r="J160" i="2"/>
  <c r="K159" i="2"/>
  <c r="J159" i="2"/>
  <c r="K154" i="2"/>
  <c r="J154" i="2"/>
  <c r="J153" i="2"/>
  <c r="K152" i="2"/>
  <c r="J152" i="2"/>
  <c r="K151" i="2"/>
  <c r="J151" i="2"/>
  <c r="J148" i="2"/>
  <c r="K147" i="2"/>
  <c r="K146" i="2" s="1"/>
  <c r="N146" i="2" s="1"/>
  <c r="J147" i="2"/>
  <c r="J144" i="2"/>
  <c r="J143" i="2"/>
  <c r="K142" i="2"/>
  <c r="J142" i="2"/>
  <c r="K141" i="2"/>
  <c r="J141" i="2"/>
  <c r="J138" i="2"/>
  <c r="J137" i="2"/>
  <c r="J136" i="2"/>
  <c r="K135" i="2"/>
  <c r="J135" i="2"/>
  <c r="K134" i="2"/>
  <c r="J134" i="2"/>
  <c r="J131" i="2"/>
  <c r="K130" i="2"/>
  <c r="J130" i="2"/>
  <c r="K129" i="2"/>
  <c r="J129" i="2"/>
  <c r="K128" i="2"/>
  <c r="J128" i="2"/>
  <c r="K127" i="2"/>
  <c r="J127" i="2"/>
  <c r="K126" i="2"/>
  <c r="J126" i="2"/>
  <c r="K123" i="2"/>
  <c r="K121" i="2" s="1"/>
  <c r="N121" i="2" s="1"/>
  <c r="J123" i="2"/>
  <c r="J122" i="2"/>
  <c r="K119" i="2"/>
  <c r="J119" i="2"/>
  <c r="K118" i="2"/>
  <c r="J118" i="2"/>
  <c r="K117" i="2"/>
  <c r="J117" i="2"/>
  <c r="K114" i="2"/>
  <c r="J114" i="2"/>
  <c r="K113" i="2"/>
  <c r="J113" i="2"/>
  <c r="K112" i="2"/>
  <c r="J112" i="2"/>
  <c r="K107" i="2"/>
  <c r="J107" i="2"/>
  <c r="K106" i="2"/>
  <c r="J106" i="2"/>
  <c r="K105" i="2"/>
  <c r="J105" i="2"/>
  <c r="K104" i="2"/>
  <c r="J104" i="2"/>
  <c r="J101" i="2"/>
  <c r="J100" i="2"/>
  <c r="K99" i="2"/>
  <c r="J99" i="2"/>
  <c r="J98" i="2"/>
  <c r="K97" i="2"/>
  <c r="J97" i="2"/>
  <c r="K96" i="2"/>
  <c r="J96" i="2"/>
  <c r="J93" i="2"/>
  <c r="K92" i="2"/>
  <c r="J92" i="2"/>
  <c r="K91" i="2"/>
  <c r="J91" i="2"/>
  <c r="J88" i="2"/>
  <c r="J87" i="2" s="1"/>
  <c r="K87" i="2"/>
  <c r="N87" i="2" s="1"/>
  <c r="J85" i="2"/>
  <c r="J84" i="2"/>
  <c r="J83" i="2"/>
  <c r="J82" i="2"/>
  <c r="J81" i="2"/>
  <c r="J80" i="2"/>
  <c r="J79" i="2"/>
  <c r="J78" i="2"/>
  <c r="J77" i="2"/>
  <c r="K76" i="2"/>
  <c r="J76" i="2"/>
  <c r="K75" i="2"/>
  <c r="J75" i="2"/>
  <c r="J72" i="2"/>
  <c r="J70" i="2" s="1"/>
  <c r="K71" i="2"/>
  <c r="K70" i="2" s="1"/>
  <c r="N70" i="2" s="1"/>
  <c r="J68" i="2"/>
  <c r="J66" i="2" s="1"/>
  <c r="M66" i="2" s="1"/>
  <c r="K67" i="2"/>
  <c r="K66" i="2" s="1"/>
  <c r="K61" i="2"/>
  <c r="K60" i="2" s="1"/>
  <c r="N60" i="2" s="1"/>
  <c r="J61" i="2"/>
  <c r="K57" i="2"/>
  <c r="K56" i="2" s="1"/>
  <c r="N56" i="2" s="1"/>
  <c r="J57" i="2"/>
  <c r="K54" i="2"/>
  <c r="J54" i="2"/>
  <c r="K53" i="2"/>
  <c r="J53" i="2"/>
  <c r="K50" i="2"/>
  <c r="J50" i="2"/>
  <c r="K49" i="2"/>
  <c r="J49" i="2"/>
  <c r="K46" i="2"/>
  <c r="J46" i="2"/>
  <c r="K45" i="2"/>
  <c r="J45" i="2"/>
  <c r="J44" i="2"/>
  <c r="K40" i="2"/>
  <c r="J40" i="2"/>
  <c r="J38" i="2" s="1"/>
  <c r="M38" i="2" s="1"/>
  <c r="K39" i="2"/>
  <c r="J39" i="2"/>
  <c r="K36" i="2"/>
  <c r="J36" i="2"/>
  <c r="K35" i="2"/>
  <c r="J35" i="2"/>
  <c r="K32" i="2"/>
  <c r="J32" i="2"/>
  <c r="K31" i="2"/>
  <c r="J31" i="2"/>
  <c r="K27" i="2"/>
  <c r="J27" i="2"/>
  <c r="K26" i="2"/>
  <c r="J26" i="2"/>
  <c r="K23" i="2"/>
  <c r="J23" i="2"/>
  <c r="K22" i="2"/>
  <c r="J22" i="2"/>
  <c r="K18" i="2"/>
  <c r="J18" i="2"/>
  <c r="K17" i="2"/>
  <c r="J17" i="2"/>
  <c r="K13" i="2"/>
  <c r="K12" i="2" s="1"/>
  <c r="N12" i="2" s="1"/>
  <c r="J13" i="2"/>
  <c r="J12" i="2" s="1"/>
  <c r="K10" i="2"/>
  <c r="J10" i="2"/>
  <c r="K9" i="2"/>
  <c r="J9" i="2"/>
  <c r="K6" i="2"/>
  <c r="J6" i="2"/>
  <c r="K5" i="2"/>
  <c r="J5" i="2"/>
  <c r="B20" i="1"/>
  <c r="A20" i="1"/>
  <c r="B19" i="1"/>
  <c r="A19" i="1"/>
  <c r="B18" i="1"/>
  <c r="A18" i="1"/>
  <c r="B17" i="1"/>
  <c r="A17" i="1"/>
  <c r="B16" i="1"/>
  <c r="A16" i="1"/>
  <c r="B15" i="1"/>
  <c r="A15" i="1"/>
  <c r="B14" i="1"/>
  <c r="A14" i="1"/>
  <c r="B13" i="1"/>
  <c r="A13" i="1"/>
  <c r="B12" i="1"/>
  <c r="A12" i="1"/>
  <c r="B11" i="1"/>
  <c r="A11" i="1"/>
  <c r="B10" i="1"/>
  <c r="A10" i="1"/>
  <c r="B9" i="1"/>
  <c r="A9" i="1"/>
  <c r="B8" i="1"/>
  <c r="A8" i="1"/>
  <c r="L1401" i="2" l="1"/>
  <c r="L1492" i="2"/>
  <c r="I7" i="3"/>
  <c r="H1064" i="2"/>
  <c r="J1064" i="2" s="1"/>
  <c r="L1506" i="2"/>
  <c r="L1235" i="2"/>
  <c r="L1450" i="2"/>
  <c r="L1391" i="2"/>
  <c r="H1118" i="2"/>
  <c r="J1118" i="2" s="1"/>
  <c r="J1115" i="2" s="1"/>
  <c r="M1115" i="2" s="1"/>
  <c r="O1115" i="2" s="1"/>
  <c r="P1115" i="2" s="1"/>
  <c r="M1120" i="2"/>
  <c r="O1120" i="2" s="1"/>
  <c r="P1120" i="2" s="1"/>
  <c r="L1213" i="2"/>
  <c r="M1132" i="2"/>
  <c r="O1132" i="2" s="1"/>
  <c r="P1132" i="2" s="1"/>
  <c r="L1379" i="2"/>
  <c r="L1373" i="2"/>
  <c r="L1433" i="2"/>
  <c r="L1019" i="2"/>
  <c r="H1108" i="2"/>
  <c r="J1108" i="2" s="1"/>
  <c r="L1445" i="2"/>
  <c r="L1024" i="2"/>
  <c r="H1090" i="2"/>
  <c r="J1090" i="2" s="1"/>
  <c r="H1102" i="2"/>
  <c r="J1102" i="2" s="1"/>
  <c r="H1083" i="2"/>
  <c r="J1083" i="2" s="1"/>
  <c r="L1128" i="2"/>
  <c r="M1128" i="2"/>
  <c r="O1128" i="2" s="1"/>
  <c r="P1128" i="2" s="1"/>
  <c r="I8" i="3"/>
  <c r="H1051" i="2"/>
  <c r="J1051" i="2" s="1"/>
  <c r="H1063" i="2"/>
  <c r="J1063" i="2" s="1"/>
  <c r="H1089" i="2"/>
  <c r="J1089" i="2" s="1"/>
  <c r="J1086" i="2" s="1"/>
  <c r="H1101" i="2"/>
  <c r="J1101" i="2" s="1"/>
  <c r="J1098" i="2" s="1"/>
  <c r="H1045" i="2"/>
  <c r="J1045" i="2" s="1"/>
  <c r="H1057" i="2"/>
  <c r="J1057" i="2" s="1"/>
  <c r="H1069" i="2"/>
  <c r="J1069" i="2" s="1"/>
  <c r="J1066" i="2" s="1"/>
  <c r="H1107" i="2"/>
  <c r="J1107" i="2" s="1"/>
  <c r="J1104" i="2" s="1"/>
  <c r="M1104" i="2" s="1"/>
  <c r="O1104" i="2" s="1"/>
  <c r="P1104" i="2" s="1"/>
  <c r="H1082" i="2"/>
  <c r="J1082" i="2" s="1"/>
  <c r="H1095" i="2"/>
  <c r="J1095" i="2" s="1"/>
  <c r="J1092" i="2" s="1"/>
  <c r="H1113" i="2"/>
  <c r="J1113" i="2" s="1"/>
  <c r="J1110" i="2" s="1"/>
  <c r="L1006" i="2"/>
  <c r="L1124" i="2"/>
  <c r="M1124" i="2"/>
  <c r="O1124" i="2" s="1"/>
  <c r="P1124" i="2" s="1"/>
  <c r="L1267" i="2"/>
  <c r="L1002" i="2"/>
  <c r="M1002" i="2"/>
  <c r="O1002" i="2" s="1"/>
  <c r="P1002" i="2" s="1"/>
  <c r="H1084" i="2"/>
  <c r="J1084" i="2" s="1"/>
  <c r="H1052" i="2"/>
  <c r="J1052" i="2" s="1"/>
  <c r="H1046" i="2"/>
  <c r="J1046" i="2" s="1"/>
  <c r="H1058" i="2"/>
  <c r="J1058" i="2" s="1"/>
  <c r="L1011" i="2"/>
  <c r="M1011" i="2"/>
  <c r="O1011" i="2" s="1"/>
  <c r="P1011" i="2" s="1"/>
  <c r="O1267" i="2"/>
  <c r="P1267" i="2" s="1"/>
  <c r="L1497" i="2"/>
  <c r="L959" i="2"/>
  <c r="J996" i="2"/>
  <c r="A56" i="4"/>
  <c r="C50" i="4"/>
  <c r="B56" i="4"/>
  <c r="K544" i="2"/>
  <c r="N544" i="2" s="1"/>
  <c r="J207" i="2"/>
  <c r="L207" i="2" s="1"/>
  <c r="K4" i="2"/>
  <c r="N4" i="2" s="1"/>
  <c r="K562" i="2"/>
  <c r="N562" i="2" s="1"/>
  <c r="K586" i="2"/>
  <c r="N586" i="2" s="1"/>
  <c r="K594" i="2"/>
  <c r="N594" i="2" s="1"/>
  <c r="K235" i="2"/>
  <c r="N235" i="2" s="1"/>
  <c r="K176" i="2"/>
  <c r="N176" i="2" s="1"/>
  <c r="K735" i="2"/>
  <c r="N735" i="2" s="1"/>
  <c r="K34" i="2"/>
  <c r="N34" i="2" s="1"/>
  <c r="K193" i="2"/>
  <c r="N193" i="2" s="1"/>
  <c r="K507" i="2"/>
  <c r="N507" i="2" s="1"/>
  <c r="K531" i="2"/>
  <c r="N531" i="2" s="1"/>
  <c r="K556" i="2"/>
  <c r="N556" i="2" s="1"/>
  <c r="K25" i="2"/>
  <c r="N25" i="2" s="1"/>
  <c r="J158" i="2"/>
  <c r="M158" i="2" s="1"/>
  <c r="K472" i="2"/>
  <c r="N472" i="2" s="1"/>
  <c r="K133" i="2"/>
  <c r="N133" i="2" s="1"/>
  <c r="K228" i="2"/>
  <c r="N228" i="2" s="1"/>
  <c r="J121" i="2"/>
  <c r="M121" i="2" s="1"/>
  <c r="O121" i="2" s="1"/>
  <c r="K21" i="2"/>
  <c r="N21" i="2" s="1"/>
  <c r="K30" i="2"/>
  <c r="N30" i="2" s="1"/>
  <c r="J293" i="2"/>
  <c r="M293" i="2" s="1"/>
  <c r="K111" i="2"/>
  <c r="N111" i="2" s="1"/>
  <c r="J716" i="2"/>
  <c r="M716" i="2" s="1"/>
  <c r="O716" i="2" s="1"/>
  <c r="J500" i="2"/>
  <c r="M500" i="2" s="1"/>
  <c r="J599" i="2"/>
  <c r="M599" i="2" s="1"/>
  <c r="J626" i="2"/>
  <c r="M626" i="2" s="1"/>
  <c r="J639" i="2"/>
  <c r="M639" i="2" s="1"/>
  <c r="K580" i="2"/>
  <c r="N580" i="2" s="1"/>
  <c r="J740" i="2"/>
  <c r="M740" i="2" s="1"/>
  <c r="J25" i="2"/>
  <c r="M25" i="2" s="1"/>
  <c r="K74" i="2"/>
  <c r="N74" i="2" s="1"/>
  <c r="J116" i="2"/>
  <c r="M116" i="2" s="1"/>
  <c r="J362" i="2"/>
  <c r="M362" i="2" s="1"/>
  <c r="K406" i="2"/>
  <c r="N406" i="2" s="1"/>
  <c r="K392" i="2"/>
  <c r="N392" i="2" s="1"/>
  <c r="J562" i="2"/>
  <c r="J720" i="2"/>
  <c r="M720" i="2" s="1"/>
  <c r="O720" i="2" s="1"/>
  <c r="J755" i="2"/>
  <c r="L755" i="2" s="1"/>
  <c r="J797" i="2"/>
  <c r="M797" i="2" s="1"/>
  <c r="J759" i="2"/>
  <c r="M759" i="2" s="1"/>
  <c r="K48" i="2"/>
  <c r="N48" i="2" s="1"/>
  <c r="N282" i="2"/>
  <c r="J472" i="2"/>
  <c r="M472" i="2" s="1"/>
  <c r="K649" i="2"/>
  <c r="N649" i="2" s="1"/>
  <c r="K657" i="2"/>
  <c r="N657" i="2" s="1"/>
  <c r="K665" i="2"/>
  <c r="N665" i="2" s="1"/>
  <c r="J677" i="2"/>
  <c r="M677" i="2" s="1"/>
  <c r="K725" i="2"/>
  <c r="N725" i="2" s="1"/>
  <c r="O830" i="2"/>
  <c r="P830" i="2" s="1"/>
  <c r="K158" i="2"/>
  <c r="N158" i="2" s="1"/>
  <c r="K248" i="2"/>
  <c r="N248" i="2" s="1"/>
  <c r="J486" i="2"/>
  <c r="M486" i="2" s="1"/>
  <c r="J516" i="2"/>
  <c r="M516" i="2" s="1"/>
  <c r="O516" i="2" s="1"/>
  <c r="J538" i="2"/>
  <c r="M538" i="2" s="1"/>
  <c r="J4" i="2"/>
  <c r="M4" i="2" s="1"/>
  <c r="J133" i="2"/>
  <c r="L133" i="2" s="1"/>
  <c r="K150" i="2"/>
  <c r="N150" i="2" s="1"/>
  <c r="K257" i="2"/>
  <c r="N257" i="2" s="1"/>
  <c r="J264" i="2"/>
  <c r="M264" i="2" s="1"/>
  <c r="M282" i="2"/>
  <c r="K387" i="2"/>
  <c r="N387" i="2" s="1"/>
  <c r="K456" i="2"/>
  <c r="N456" i="2" s="1"/>
  <c r="K464" i="2"/>
  <c r="N464" i="2" s="1"/>
  <c r="K479" i="2"/>
  <c r="N479" i="2" s="1"/>
  <c r="K599" i="2"/>
  <c r="N599" i="2" s="1"/>
  <c r="J792" i="2"/>
  <c r="M792" i="2" s="1"/>
  <c r="J15" i="6"/>
  <c r="K15" i="6"/>
  <c r="J8" i="2"/>
  <c r="M8" i="2" s="1"/>
  <c r="J30" i="2"/>
  <c r="M30" i="2" s="1"/>
  <c r="J224" i="2"/>
  <c r="L224" i="2" s="1"/>
  <c r="J242" i="2"/>
  <c r="M242" i="2" s="1"/>
  <c r="J387" i="2"/>
  <c r="M387" i="2" s="1"/>
  <c r="J456" i="2"/>
  <c r="M456" i="2" s="1"/>
  <c r="J750" i="2"/>
  <c r="L750" i="2" s="1"/>
  <c r="J818" i="2"/>
  <c r="M818" i="2" s="1"/>
  <c r="O818" i="2" s="1"/>
  <c r="J43" i="2"/>
  <c r="M43" i="2" s="1"/>
  <c r="J211" i="2"/>
  <c r="M211" i="2" s="1"/>
  <c r="K218" i="2"/>
  <c r="N218" i="2" s="1"/>
  <c r="J34" i="2"/>
  <c r="M34" i="2" s="1"/>
  <c r="J568" i="2"/>
  <c r="M568" i="2" s="1"/>
  <c r="J683" i="2"/>
  <c r="M683" i="2" s="1"/>
  <c r="K704" i="2"/>
  <c r="N704" i="2" s="1"/>
  <c r="J735" i="2"/>
  <c r="M735" i="2" s="1"/>
  <c r="K398" i="2"/>
  <c r="N398" i="2" s="1"/>
  <c r="K423" i="2"/>
  <c r="N423" i="2" s="1"/>
  <c r="K436" i="2"/>
  <c r="N436" i="2" s="1"/>
  <c r="J688" i="2"/>
  <c r="M688" i="2" s="1"/>
  <c r="J696" i="2"/>
  <c r="M696" i="2" s="1"/>
  <c r="J808" i="2"/>
  <c r="M808" i="2" s="1"/>
  <c r="J814" i="2"/>
  <c r="L814" i="2" s="1"/>
  <c r="K8" i="2"/>
  <c r="N8" i="2" s="1"/>
  <c r="K52" i="2"/>
  <c r="N52" i="2" s="1"/>
  <c r="K188" i="2"/>
  <c r="N188" i="2" s="1"/>
  <c r="J193" i="2"/>
  <c r="J334" i="2"/>
  <c r="M334" i="2" s="1"/>
  <c r="K351" i="2"/>
  <c r="N351" i="2" s="1"/>
  <c r="J671" i="2"/>
  <c r="M671" i="2" s="1"/>
  <c r="K779" i="2"/>
  <c r="N779" i="2" s="1"/>
  <c r="K797" i="2"/>
  <c r="N797" i="2" s="1"/>
  <c r="C57" i="4"/>
  <c r="K95" i="2"/>
  <c r="N95" i="2" s="1"/>
  <c r="J464" i="2"/>
  <c r="M464" i="2" s="1"/>
  <c r="L70" i="2"/>
  <c r="M70" i="2"/>
  <c r="O70" i="2" s="1"/>
  <c r="K16" i="2"/>
  <c r="N16" i="2" s="1"/>
  <c r="J150" i="2"/>
  <c r="M150" i="2" s="1"/>
  <c r="K327" i="2"/>
  <c r="N327" i="2" s="1"/>
  <c r="L416" i="2"/>
  <c r="J74" i="2"/>
  <c r="M74" i="2" s="1"/>
  <c r="L87" i="2"/>
  <c r="K373" i="2"/>
  <c r="N373" i="2" s="1"/>
  <c r="K382" i="2"/>
  <c r="N382" i="2" s="1"/>
  <c r="M416" i="2"/>
  <c r="O416" i="2" s="1"/>
  <c r="K449" i="2"/>
  <c r="N449" i="2" s="1"/>
  <c r="J657" i="2"/>
  <c r="M657" i="2" s="1"/>
  <c r="J665" i="2"/>
  <c r="M665" i="2" s="1"/>
  <c r="K730" i="2"/>
  <c r="N730" i="2" s="1"/>
  <c r="K38" i="2"/>
  <c r="K264" i="2"/>
  <c r="N264" i="2" s="1"/>
  <c r="K319" i="2"/>
  <c r="N319" i="2" s="1"/>
  <c r="J423" i="2"/>
  <c r="J507" i="2"/>
  <c r="M507" i="2" s="1"/>
  <c r="J520" i="2"/>
  <c r="J531" i="2"/>
  <c r="M531" i="2" s="1"/>
  <c r="K538" i="2"/>
  <c r="N538" i="2" s="1"/>
  <c r="J574" i="2"/>
  <c r="M574" i="2" s="1"/>
  <c r="J580" i="2"/>
  <c r="M580" i="2" s="1"/>
  <c r="J704" i="2"/>
  <c r="M704" i="2" s="1"/>
  <c r="J48" i="2"/>
  <c r="M48" i="2" s="1"/>
  <c r="K125" i="2"/>
  <c r="N125" i="2" s="1"/>
  <c r="J200" i="2"/>
  <c r="M200" i="2" s="1"/>
  <c r="K211" i="2"/>
  <c r="N211" i="2" s="1"/>
  <c r="J228" i="2"/>
  <c r="J351" i="2"/>
  <c r="M351" i="2" s="1"/>
  <c r="J436" i="2"/>
  <c r="M436" i="2" s="1"/>
  <c r="J449" i="2"/>
  <c r="K486" i="2"/>
  <c r="N486" i="2" s="1"/>
  <c r="K520" i="2"/>
  <c r="N520" i="2" s="1"/>
  <c r="K574" i="2"/>
  <c r="N574" i="2" s="1"/>
  <c r="K688" i="2"/>
  <c r="N688" i="2" s="1"/>
  <c r="K710" i="2"/>
  <c r="N710" i="2" s="1"/>
  <c r="J725" i="2"/>
  <c r="K759" i="2"/>
  <c r="N759" i="2" s="1"/>
  <c r="K808" i="2"/>
  <c r="N808" i="2" s="1"/>
  <c r="K200" i="2"/>
  <c r="N200" i="2" s="1"/>
  <c r="K242" i="2"/>
  <c r="N242" i="2" s="1"/>
  <c r="J269" i="2"/>
  <c r="M269" i="2" s="1"/>
  <c r="J392" i="2"/>
  <c r="M392" i="2" s="1"/>
  <c r="J429" i="2"/>
  <c r="K446" i="2"/>
  <c r="K442" i="2" s="1"/>
  <c r="K500" i="2"/>
  <c r="N500" i="2" s="1"/>
  <c r="J524" i="2"/>
  <c r="M524" i="2" s="1"/>
  <c r="J544" i="2"/>
  <c r="K696" i="2"/>
  <c r="J745" i="2"/>
  <c r="H780" i="2"/>
  <c r="J780" i="2" s="1"/>
  <c r="J779" i="2" s="1"/>
  <c r="K90" i="2"/>
  <c r="N90" i="2" s="1"/>
  <c r="J95" i="2"/>
  <c r="M95" i="2" s="1"/>
  <c r="J103" i="2"/>
  <c r="M103" i="2" s="1"/>
  <c r="J140" i="2"/>
  <c r="M140" i="2" s="1"/>
  <c r="K163" i="2"/>
  <c r="N163" i="2" s="1"/>
  <c r="J163" i="2"/>
  <c r="M163" i="2" s="1"/>
  <c r="K269" i="2"/>
  <c r="N269" i="2" s="1"/>
  <c r="K293" i="2"/>
  <c r="N293" i="2" s="1"/>
  <c r="J398" i="2"/>
  <c r="M398" i="2" s="1"/>
  <c r="K429" i="2"/>
  <c r="N429" i="2" s="1"/>
  <c r="J442" i="2"/>
  <c r="M442" i="2" s="1"/>
  <c r="K524" i="2"/>
  <c r="N524" i="2" s="1"/>
  <c r="K568" i="2"/>
  <c r="N568" i="2" s="1"/>
  <c r="J710" i="2"/>
  <c r="K740" i="2"/>
  <c r="N740" i="2" s="1"/>
  <c r="K792" i="2"/>
  <c r="N792" i="2" s="1"/>
  <c r="K801" i="2"/>
  <c r="N801" i="2" s="1"/>
  <c r="J16" i="2"/>
  <c r="M16" i="2" s="1"/>
  <c r="J21" i="2"/>
  <c r="M21" i="2" s="1"/>
  <c r="K43" i="2"/>
  <c r="N43" i="2" s="1"/>
  <c r="J52" i="2"/>
  <c r="M52" i="2" s="1"/>
  <c r="J90" i="2"/>
  <c r="M90" i="2" s="1"/>
  <c r="K103" i="2"/>
  <c r="N103" i="2" s="1"/>
  <c r="K116" i="2"/>
  <c r="N116" i="2" s="1"/>
  <c r="K140" i="2"/>
  <c r="N140" i="2" s="1"/>
  <c r="J146" i="2"/>
  <c r="M146" i="2" s="1"/>
  <c r="O146" i="2" s="1"/>
  <c r="J188" i="2"/>
  <c r="M188" i="2" s="1"/>
  <c r="J382" i="2"/>
  <c r="J406" i="2"/>
  <c r="M406" i="2" s="1"/>
  <c r="K550" i="2"/>
  <c r="N550" i="2" s="1"/>
  <c r="J586" i="2"/>
  <c r="M586" i="2" s="1"/>
  <c r="K671" i="2"/>
  <c r="N671" i="2" s="1"/>
  <c r="K677" i="2"/>
  <c r="N677" i="2" s="1"/>
  <c r="K683" i="2"/>
  <c r="N683" i="2" s="1"/>
  <c r="K766" i="2"/>
  <c r="N766" i="2" s="1"/>
  <c r="H767" i="2"/>
  <c r="J767" i="2" s="1"/>
  <c r="J766" i="2" s="1"/>
  <c r="N66" i="2"/>
  <c r="O66" i="2" s="1"/>
  <c r="L66" i="2"/>
  <c r="M12" i="2"/>
  <c r="O12" i="2" s="1"/>
  <c r="L12" i="2"/>
  <c r="K639" i="2"/>
  <c r="N639" i="2" s="1"/>
  <c r="J125" i="2"/>
  <c r="J257" i="2"/>
  <c r="J319" i="2"/>
  <c r="J373" i="2"/>
  <c r="M420" i="2"/>
  <c r="K420" i="2"/>
  <c r="N420" i="2" s="1"/>
  <c r="M418" i="2"/>
  <c r="K418" i="2"/>
  <c r="N418" i="2" s="1"/>
  <c r="J176" i="2"/>
  <c r="J218" i="2"/>
  <c r="J248" i="2"/>
  <c r="M87" i="2"/>
  <c r="O87" i="2" s="1"/>
  <c r="J111" i="2"/>
  <c r="J235" i="2"/>
  <c r="K305" i="2"/>
  <c r="N305" i="2" s="1"/>
  <c r="K492" i="2"/>
  <c r="N492" i="2" s="1"/>
  <c r="J594" i="2"/>
  <c r="J801" i="2"/>
  <c r="C36" i="4"/>
  <c r="J305" i="2"/>
  <c r="J327" i="2"/>
  <c r="J730" i="2"/>
  <c r="K334" i="2"/>
  <c r="N334" i="2" s="1"/>
  <c r="K362" i="2"/>
  <c r="N362" i="2" s="1"/>
  <c r="J479" i="2"/>
  <c r="J492" i="2"/>
  <c r="J550" i="2"/>
  <c r="K626" i="2"/>
  <c r="N626" i="2" s="1"/>
  <c r="J556" i="2"/>
  <c r="J649" i="2"/>
  <c r="H7" i="3"/>
  <c r="H58" i="2" s="1"/>
  <c r="J58" i="2" s="1"/>
  <c r="H8" i="3"/>
  <c r="H62" i="2" s="1"/>
  <c r="J62" i="2" s="1"/>
  <c r="J60" i="2" s="1"/>
  <c r="L1115" i="2" l="1"/>
  <c r="M207" i="2"/>
  <c r="O207" i="2" s="1"/>
  <c r="J1060" i="2"/>
  <c r="M1060" i="2" s="1"/>
  <c r="O1060" i="2" s="1"/>
  <c r="P1060" i="2" s="1"/>
  <c r="J1048" i="2"/>
  <c r="M1048" i="2" s="1"/>
  <c r="O1048" i="2" s="1"/>
  <c r="P1048" i="2" s="1"/>
  <c r="J1079" i="2"/>
  <c r="M1079" i="2" s="1"/>
  <c r="O1079" i="2" s="1"/>
  <c r="P1079" i="2" s="1"/>
  <c r="L1104" i="2"/>
  <c r="M1092" i="2"/>
  <c r="O1092" i="2" s="1"/>
  <c r="P1092" i="2" s="1"/>
  <c r="L1092" i="2"/>
  <c r="L15" i="6"/>
  <c r="H1076" i="2" s="1"/>
  <c r="J1076" i="2" s="1"/>
  <c r="J1072" i="2" s="1"/>
  <c r="M1066" i="2"/>
  <c r="O1066" i="2" s="1"/>
  <c r="P1066" i="2" s="1"/>
  <c r="L1066" i="2"/>
  <c r="M996" i="2"/>
  <c r="O996" i="2" s="1"/>
  <c r="P996" i="2" s="1"/>
  <c r="L996" i="2"/>
  <c r="J1054" i="2"/>
  <c r="J1042" i="2"/>
  <c r="M1098" i="2"/>
  <c r="O1098" i="2" s="1"/>
  <c r="P1098" i="2" s="1"/>
  <c r="L1098" i="2"/>
  <c r="M1110" i="2"/>
  <c r="O1110" i="2" s="1"/>
  <c r="P1110" i="2" s="1"/>
  <c r="L1110" i="2"/>
  <c r="M1086" i="2"/>
  <c r="O1086" i="2" s="1"/>
  <c r="P1086" i="2" s="1"/>
  <c r="L1086" i="2"/>
  <c r="O580" i="2"/>
  <c r="O808" i="2"/>
  <c r="O704" i="2"/>
  <c r="O351" i="2"/>
  <c r="L228" i="2"/>
  <c r="L193" i="2"/>
  <c r="L48" i="2"/>
  <c r="O264" i="2"/>
  <c r="O392" i="2"/>
  <c r="O531" i="2"/>
  <c r="O586" i="2"/>
  <c r="L562" i="2"/>
  <c r="M562" i="2"/>
  <c r="O562" i="2" s="1"/>
  <c r="O211" i="2"/>
  <c r="L30" i="2"/>
  <c r="O30" i="2"/>
  <c r="M814" i="2"/>
  <c r="O814" i="2" s="1"/>
  <c r="O158" i="2"/>
  <c r="O657" i="2"/>
  <c r="O282" i="2"/>
  <c r="L808" i="2"/>
  <c r="L544" i="2"/>
  <c r="L657" i="2"/>
  <c r="M755" i="2"/>
  <c r="O755" i="2" s="1"/>
  <c r="O34" i="2"/>
  <c r="O797" i="2"/>
  <c r="L25" i="2"/>
  <c r="L516" i="2"/>
  <c r="O599" i="2"/>
  <c r="O683" i="2"/>
  <c r="O95" i="2"/>
  <c r="O150" i="2"/>
  <c r="O25" i="2"/>
  <c r="L158" i="2"/>
  <c r="O472" i="2"/>
  <c r="L387" i="2"/>
  <c r="L720" i="2"/>
  <c r="L735" i="2"/>
  <c r="L599" i="2"/>
  <c r="O735" i="2"/>
  <c r="L507" i="2"/>
  <c r="M224" i="2"/>
  <c r="O224" i="2" s="1"/>
  <c r="O671" i="2"/>
  <c r="M750" i="2"/>
  <c r="O750" i="2" s="1"/>
  <c r="O507" i="2"/>
  <c r="O626" i="2"/>
  <c r="L282" i="2"/>
  <c r="L797" i="2"/>
  <c r="L531" i="2"/>
  <c r="L121" i="2"/>
  <c r="O665" i="2"/>
  <c r="L34" i="2"/>
  <c r="M193" i="2"/>
  <c r="O193" i="2" s="1"/>
  <c r="L4" i="2"/>
  <c r="L464" i="2"/>
  <c r="O464" i="2"/>
  <c r="L818" i="2"/>
  <c r="L472" i="2"/>
  <c r="O406" i="2"/>
  <c r="O568" i="2"/>
  <c r="L8" i="2"/>
  <c r="O43" i="2"/>
  <c r="O524" i="2"/>
  <c r="O456" i="2"/>
  <c r="O500" i="2"/>
  <c r="M544" i="2"/>
  <c r="O544" i="2" s="1"/>
  <c r="M133" i="2"/>
  <c r="O133" i="2" s="1"/>
  <c r="L665" i="2"/>
  <c r="O8" i="2"/>
  <c r="O188" i="2"/>
  <c r="L103" i="2"/>
  <c r="O436" i="2"/>
  <c r="L423" i="2"/>
  <c r="O269" i="2"/>
  <c r="L436" i="2"/>
  <c r="M423" i="2"/>
  <c r="O423" i="2" s="1"/>
  <c r="L95" i="2"/>
  <c r="L725" i="2"/>
  <c r="L456" i="2"/>
  <c r="L150" i="2"/>
  <c r="O387" i="2"/>
  <c r="L716" i="2"/>
  <c r="O52" i="2"/>
  <c r="L683" i="2"/>
  <c r="L574" i="2"/>
  <c r="L188" i="2"/>
  <c r="O48" i="2"/>
  <c r="L74" i="2"/>
  <c r="O74" i="2"/>
  <c r="N442" i="2"/>
  <c r="O442" i="2" s="1"/>
  <c r="L442" i="2"/>
  <c r="L163" i="2"/>
  <c r="M725" i="2"/>
  <c r="O725" i="2" s="1"/>
  <c r="O242" i="2"/>
  <c r="L351" i="2"/>
  <c r="L429" i="2"/>
  <c r="L90" i="2"/>
  <c r="O90" i="2"/>
  <c r="O163" i="2"/>
  <c r="O200" i="2"/>
  <c r="L500" i="2"/>
  <c r="L43" i="2"/>
  <c r="L21" i="2"/>
  <c r="L759" i="2"/>
  <c r="L52" i="2"/>
  <c r="L269" i="2"/>
  <c r="L242" i="2"/>
  <c r="O140" i="2"/>
  <c r="L677" i="2"/>
  <c r="O759" i="2"/>
  <c r="L568" i="2"/>
  <c r="L406" i="2"/>
  <c r="L398" i="2"/>
  <c r="O21" i="2"/>
  <c r="O103" i="2"/>
  <c r="L524" i="2"/>
  <c r="L264" i="2"/>
  <c r="L538" i="2"/>
  <c r="O677" i="2"/>
  <c r="O538" i="2"/>
  <c r="L146" i="2"/>
  <c r="M228" i="2"/>
  <c r="O228" i="2" s="1"/>
  <c r="O398" i="2"/>
  <c r="O574" i="2"/>
  <c r="L362" i="2"/>
  <c r="O293" i="2"/>
  <c r="L792" i="2"/>
  <c r="L745" i="2"/>
  <c r="M745" i="2"/>
  <c r="O745" i="2" s="1"/>
  <c r="L671" i="2"/>
  <c r="M429" i="2"/>
  <c r="O429" i="2" s="1"/>
  <c r="L420" i="2"/>
  <c r="L586" i="2"/>
  <c r="N696" i="2"/>
  <c r="O696" i="2" s="1"/>
  <c r="L696" i="2"/>
  <c r="L580" i="2"/>
  <c r="L140" i="2"/>
  <c r="L382" i="2"/>
  <c r="M382" i="2"/>
  <c r="O382" i="2" s="1"/>
  <c r="M520" i="2"/>
  <c r="O520" i="2" s="1"/>
  <c r="L520" i="2"/>
  <c r="L116" i="2"/>
  <c r="O792" i="2"/>
  <c r="L38" i="2"/>
  <c r="N38" i="2"/>
  <c r="O38" i="2" s="1"/>
  <c r="L626" i="2"/>
  <c r="O688" i="2"/>
  <c r="L392" i="2"/>
  <c r="L740" i="2"/>
  <c r="L449" i="2"/>
  <c r="M449" i="2"/>
  <c r="O449" i="2" s="1"/>
  <c r="L710" i="2"/>
  <c r="M710" i="2"/>
  <c r="O710" i="2" s="1"/>
  <c r="L688" i="2"/>
  <c r="O420" i="2"/>
  <c r="L211" i="2"/>
  <c r="L16" i="2"/>
  <c r="L704" i="2"/>
  <c r="O486" i="2"/>
  <c r="O418" i="2"/>
  <c r="O362" i="2"/>
  <c r="O116" i="2"/>
  <c r="O740" i="2"/>
  <c r="L200" i="2"/>
  <c r="O16" i="2"/>
  <c r="L293" i="2"/>
  <c r="L486" i="2"/>
  <c r="M60" i="2"/>
  <c r="O60" i="2" s="1"/>
  <c r="L60" i="2"/>
  <c r="L373" i="2"/>
  <c r="M373" i="2"/>
  <c r="O373" i="2" s="1"/>
  <c r="J56" i="2"/>
  <c r="M479" i="2"/>
  <c r="O479" i="2" s="1"/>
  <c r="L479" i="2"/>
  <c r="M801" i="2"/>
  <c r="O801" i="2" s="1"/>
  <c r="L801" i="2"/>
  <c r="L779" i="2"/>
  <c r="M779" i="2"/>
  <c r="O779" i="2" s="1"/>
  <c r="M125" i="2"/>
  <c r="O125" i="2" s="1"/>
  <c r="L125" i="2"/>
  <c r="M556" i="2"/>
  <c r="O556" i="2" s="1"/>
  <c r="L556" i="2"/>
  <c r="L639" i="2"/>
  <c r="M594" i="2"/>
  <c r="O594" i="2" s="1"/>
  <c r="L594" i="2"/>
  <c r="M730" i="2"/>
  <c r="O730" i="2" s="1"/>
  <c r="L730" i="2"/>
  <c r="O639" i="2"/>
  <c r="M550" i="2"/>
  <c r="O550" i="2" s="1"/>
  <c r="L550" i="2"/>
  <c r="L111" i="2"/>
  <c r="M111" i="2"/>
  <c r="O111" i="2" s="1"/>
  <c r="M766" i="2"/>
  <c r="O766" i="2" s="1"/>
  <c r="L766" i="2"/>
  <c r="M248" i="2"/>
  <c r="O248" i="2" s="1"/>
  <c r="L248" i="2"/>
  <c r="L418" i="2"/>
  <c r="O334" i="2"/>
  <c r="M235" i="2"/>
  <c r="O235" i="2" s="1"/>
  <c r="L235" i="2"/>
  <c r="L327" i="2"/>
  <c r="M327" i="2"/>
  <c r="O327" i="2" s="1"/>
  <c r="L218" i="2"/>
  <c r="M218" i="2"/>
  <c r="O218" i="2" s="1"/>
  <c r="L334" i="2"/>
  <c r="M649" i="2"/>
  <c r="O649" i="2" s="1"/>
  <c r="L649" i="2"/>
  <c r="M319" i="2"/>
  <c r="O319" i="2" s="1"/>
  <c r="L319" i="2"/>
  <c r="O4" i="2"/>
  <c r="L492" i="2"/>
  <c r="M492" i="2"/>
  <c r="O492" i="2" s="1"/>
  <c r="M305" i="2"/>
  <c r="O305" i="2" s="1"/>
  <c r="L305" i="2"/>
  <c r="L176" i="2"/>
  <c r="M176" i="2"/>
  <c r="O176" i="2" s="1"/>
  <c r="M257" i="2"/>
  <c r="O257" i="2" s="1"/>
  <c r="L257" i="2"/>
  <c r="L1060" i="2" l="1"/>
  <c r="L1048" i="2"/>
  <c r="L1079" i="2"/>
  <c r="M1042" i="2"/>
  <c r="O1042" i="2" s="1"/>
  <c r="P1042" i="2" s="1"/>
  <c r="L1042" i="2"/>
  <c r="M1054" i="2"/>
  <c r="O1054" i="2" s="1"/>
  <c r="P1054" i="2" s="1"/>
  <c r="L1054" i="2"/>
  <c r="M1072" i="2"/>
  <c r="O1072" i="2" s="1"/>
  <c r="P1072" i="2" s="1"/>
  <c r="L1072" i="2"/>
  <c r="N1530" i="2"/>
  <c r="M56" i="2"/>
  <c r="L56" i="2"/>
  <c r="M1530" i="2" l="1"/>
  <c r="M1531" i="2" s="1"/>
  <c r="N1531" i="2"/>
  <c r="C61" i="4"/>
  <c r="E61" i="4" s="1"/>
  <c r="O56" i="2"/>
  <c r="O1530" i="2" s="1"/>
  <c r="O1531" i="2" s="1"/>
  <c r="B61" i="4" l="1"/>
  <c r="D61" i="4" s="1"/>
  <c r="F62" i="4" s="1"/>
  <c r="C13" i="4" l="1"/>
  <c r="C19" i="4" s="1"/>
  <c r="B23" i="4" s="1"/>
  <c r="R1" i="2" s="1"/>
  <c r="Q1011" i="2"/>
  <c r="Q989" i="2"/>
  <c r="Q1031" i="2"/>
  <c r="Q1006" i="2"/>
  <c r="Q1079" i="2"/>
  <c r="Q949" i="2"/>
  <c r="Q918" i="2"/>
  <c r="Q848" i="2"/>
  <c r="Q1235" i="2"/>
  <c r="Q860" i="2"/>
  <c r="Q1460" i="2"/>
  <c r="Q1143" i="2"/>
  <c r="Q1482" i="2"/>
  <c r="Q894" i="2"/>
  <c r="Q1060" i="2"/>
  <c r="Q1208" i="2"/>
  <c r="Q1002" i="2"/>
  <c r="Q1148" i="2"/>
  <c r="Q1324" i="2"/>
  <c r="Q996" i="2"/>
  <c r="Q1098" i="2"/>
  <c r="Q942" i="2"/>
  <c r="Q1342" i="2"/>
  <c r="Q1497" i="2"/>
  <c r="Q1406" i="2"/>
  <c r="Q1092" i="2"/>
  <c r="Q1492" i="2"/>
  <c r="Q1213" i="2"/>
  <c r="Q1455" i="2"/>
  <c r="Q1312" i="2"/>
  <c r="Q1286" i="2"/>
  <c r="Q1138" i="2"/>
  <c r="Q1419" i="2"/>
  <c r="Q1124" i="2"/>
  <c r="Q979" i="2"/>
  <c r="Q1128" i="2"/>
  <c r="Q1228" i="2"/>
  <c r="Q1428" i="2"/>
  <c r="Q1019" i="2"/>
  <c r="Q884" i="2"/>
  <c r="Q912" i="2"/>
  <c r="Q1477" i="2"/>
  <c r="Q974" i="2"/>
  <c r="Q1132" i="2"/>
  <c r="Q1024" i="2"/>
  <c r="Q1178" i="2"/>
  <c r="Q1086" i="2"/>
  <c r="Q900" i="2"/>
  <c r="Q866" i="2"/>
  <c r="Q1511" i="2"/>
  <c r="Q1066" i="2"/>
  <c r="Q1173" i="2"/>
  <c r="Q1373" i="2"/>
  <c r="Q1245" i="2"/>
  <c r="Q1110" i="2"/>
  <c r="Q1440" i="2"/>
  <c r="Q1391" i="2"/>
  <c r="Q1158" i="2"/>
  <c r="Q1183" i="2"/>
  <c r="Q1516" i="2"/>
  <c r="Q1379" i="2"/>
  <c r="Q1367" i="2"/>
  <c r="Q1502" i="2"/>
  <c r="Q1330" i="2"/>
  <c r="Q1193" i="2"/>
  <c r="Q1168" i="2"/>
  <c r="Q964" i="2"/>
  <c r="Q1301" i="2"/>
  <c r="Q1360" i="2"/>
  <c r="Q878" i="2"/>
  <c r="Q1048" i="2"/>
  <c r="Q1348" i="2"/>
  <c r="Q1296" i="2"/>
  <c r="Q1450" i="2"/>
  <c r="Q1424" i="2"/>
  <c r="Q1506" i="2"/>
  <c r="Q1281" i="2"/>
  <c r="Q1015" i="2"/>
  <c r="Q1036" i="2"/>
  <c r="Q1188" i="2"/>
  <c r="Q1240" i="2"/>
  <c r="Q936" i="2"/>
  <c r="Q1401" i="2"/>
  <c r="Q1414" i="2"/>
  <c r="Q1198" i="2"/>
  <c r="Q1385" i="2"/>
  <c r="Q1072" i="2"/>
  <c r="Q1120" i="2"/>
  <c r="Q1218" i="2"/>
  <c r="Q1465" i="2"/>
  <c r="Q969" i="2"/>
  <c r="Q842" i="2"/>
  <c r="Q1487" i="2"/>
  <c r="Q924" i="2"/>
  <c r="Q1433" i="2"/>
  <c r="Q954" i="2"/>
  <c r="Q1054" i="2"/>
  <c r="Q1291" i="2"/>
  <c r="Q1526" i="2"/>
  <c r="Q854" i="2"/>
  <c r="Q1223" i="2"/>
  <c r="Q1163" i="2"/>
  <c r="Q1042" i="2"/>
  <c r="Q1520" i="2"/>
  <c r="Q1254" i="2"/>
  <c r="Q1115" i="2"/>
  <c r="Q959" i="2"/>
  <c r="Q1261" i="2"/>
  <c r="Q1318" i="2"/>
  <c r="Q1203" i="2"/>
  <c r="Q1153" i="2"/>
  <c r="Q984" i="2"/>
  <c r="Q930" i="2"/>
  <c r="Q1306" i="2"/>
  <c r="Q906" i="2"/>
  <c r="Q1336" i="2"/>
  <c r="Q1396" i="2"/>
  <c r="Q1470" i="2"/>
  <c r="Q1445" i="2"/>
  <c r="Q1274" i="2"/>
  <c r="Q1267" i="2"/>
  <c r="Q1104" i="2"/>
  <c r="Q872" i="2"/>
  <c r="Q836" i="2"/>
  <c r="Q889" i="2"/>
  <c r="Q1250" i="2"/>
  <c r="Q1354" i="2"/>
  <c r="Q830" i="2"/>
  <c r="Q1525" i="2" l="1"/>
  <c r="D4" i="1"/>
  <c r="Q1136" i="2"/>
  <c r="C24" i="1" s="1"/>
  <c r="Q1279" i="2"/>
  <c r="C27" i="1" s="1"/>
  <c r="Q1372" i="2"/>
  <c r="C28" i="1" s="1"/>
  <c r="Q1259" i="2"/>
  <c r="C26" i="1" s="1"/>
  <c r="Q1411" i="2"/>
  <c r="C29" i="1" s="1"/>
  <c r="Q994" i="2"/>
  <c r="Q1029" i="2"/>
  <c r="C23" i="1" s="1"/>
  <c r="Q1475" i="2"/>
  <c r="C30" i="1" s="1"/>
  <c r="Q824" i="2"/>
  <c r="Q1233" i="2"/>
  <c r="C25" i="1" s="1"/>
  <c r="P121" i="2"/>
  <c r="Q121" i="2" s="1"/>
  <c r="P200" i="2"/>
  <c r="Q200" i="2" s="1"/>
  <c r="P710" i="2"/>
  <c r="Q710" i="2" s="1"/>
  <c r="P520" i="2"/>
  <c r="Q520" i="2" s="1"/>
  <c r="P264" i="2"/>
  <c r="Q264" i="2" s="1"/>
  <c r="P382" i="2"/>
  <c r="Q382" i="2" s="1"/>
  <c r="P716" i="2"/>
  <c r="Q716" i="2" s="1"/>
  <c r="P683" i="2"/>
  <c r="Q683" i="2" s="1"/>
  <c r="P416" i="2"/>
  <c r="Q416" i="2" s="1"/>
  <c r="P398" i="2"/>
  <c r="Q398" i="2" s="1"/>
  <c r="P21" i="2"/>
  <c r="Q21" i="2" s="1"/>
  <c r="P735" i="2"/>
  <c r="Q735" i="2" s="1"/>
  <c r="P387" i="2"/>
  <c r="Q387" i="2" s="1"/>
  <c r="P696" i="2"/>
  <c r="Q696" i="2" s="1"/>
  <c r="P818" i="2"/>
  <c r="Q818" i="2" s="1"/>
  <c r="P449" i="2"/>
  <c r="Q449" i="2" s="1"/>
  <c r="P38" i="2"/>
  <c r="Q38" i="2" s="1"/>
  <c r="P755" i="2"/>
  <c r="Q755" i="2" s="1"/>
  <c r="P207" i="2"/>
  <c r="Q207" i="2" s="1"/>
  <c r="P70" i="2"/>
  <c r="Q70" i="2" s="1"/>
  <c r="P704" i="2"/>
  <c r="Q704" i="2" s="1"/>
  <c r="P745" i="2"/>
  <c r="Q745" i="2" s="1"/>
  <c r="P282" i="2"/>
  <c r="Q282" i="2" s="1"/>
  <c r="P671" i="2"/>
  <c r="Q671" i="2" s="1"/>
  <c r="P808" i="2"/>
  <c r="Q808" i="2" s="1"/>
  <c r="P792" i="2"/>
  <c r="Q792" i="2" s="1"/>
  <c r="P224" i="2"/>
  <c r="Q224" i="2" s="1"/>
  <c r="P34" i="2"/>
  <c r="Q34" i="2" s="1"/>
  <c r="P133" i="2"/>
  <c r="Q133" i="2" s="1"/>
  <c r="P486" i="2"/>
  <c r="Q486" i="2" s="1"/>
  <c r="P472" i="2"/>
  <c r="Q472" i="2" s="1"/>
  <c r="P150" i="2"/>
  <c r="Q150" i="2" s="1"/>
  <c r="P66" i="2"/>
  <c r="Q66" i="2" s="1"/>
  <c r="P524" i="2"/>
  <c r="Q524" i="2" s="1"/>
  <c r="P351" i="2"/>
  <c r="Q351" i="2" s="1"/>
  <c r="P16" i="2"/>
  <c r="Q16" i="2" s="1"/>
  <c r="P507" i="2"/>
  <c r="Q507" i="2" s="1"/>
  <c r="P140" i="2"/>
  <c r="Q140" i="2" s="1"/>
  <c r="P500" i="2"/>
  <c r="Q500" i="2" s="1"/>
  <c r="P544" i="2"/>
  <c r="Q544" i="2" s="1"/>
  <c r="P418" i="2"/>
  <c r="Q418" i="2" s="1"/>
  <c r="P8" i="2"/>
  <c r="Q8" i="2" s="1"/>
  <c r="P43" i="2"/>
  <c r="Q43" i="2" s="1"/>
  <c r="P464" i="2"/>
  <c r="Q464" i="2" s="1"/>
  <c r="P562" i="2"/>
  <c r="Q562" i="2" s="1"/>
  <c r="P90" i="2"/>
  <c r="Q90" i="2" s="1"/>
  <c r="P531" i="2"/>
  <c r="Q531" i="2" s="1"/>
  <c r="P406" i="2"/>
  <c r="Q406" i="2" s="1"/>
  <c r="P269" i="2"/>
  <c r="Q269" i="2" s="1"/>
  <c r="P456" i="2"/>
  <c r="Q456" i="2" s="1"/>
  <c r="P538" i="2"/>
  <c r="Q538" i="2" s="1"/>
  <c r="P52" i="2"/>
  <c r="Q52" i="2" s="1"/>
  <c r="P516" i="2"/>
  <c r="Q516" i="2" s="1"/>
  <c r="P750" i="2"/>
  <c r="Q750" i="2" s="1"/>
  <c r="P797" i="2"/>
  <c r="Q797" i="2" s="1"/>
  <c r="P580" i="2"/>
  <c r="Q580" i="2" s="1"/>
  <c r="P759" i="2"/>
  <c r="Q759" i="2" s="1"/>
  <c r="P725" i="2"/>
  <c r="Q725" i="2" s="1"/>
  <c r="P599" i="2"/>
  <c r="Q599" i="2" s="1"/>
  <c r="P688" i="2"/>
  <c r="Q688" i="2" s="1"/>
  <c r="P677" i="2"/>
  <c r="Q677" i="2" s="1"/>
  <c r="P188" i="2"/>
  <c r="Q188" i="2" s="1"/>
  <c r="P293" i="2"/>
  <c r="Q293" i="2" s="1"/>
  <c r="P423" i="2"/>
  <c r="Q423" i="2" s="1"/>
  <c r="P442" i="2"/>
  <c r="Q442" i="2" s="1"/>
  <c r="P814" i="2"/>
  <c r="Q814" i="2" s="1"/>
  <c r="P574" i="2"/>
  <c r="Q574" i="2" s="1"/>
  <c r="P48" i="2"/>
  <c r="Q48" i="2" s="1"/>
  <c r="P30" i="2"/>
  <c r="Q30" i="2" s="1"/>
  <c r="P362" i="2"/>
  <c r="Q362" i="2" s="1"/>
  <c r="P158" i="2"/>
  <c r="Q158" i="2" s="1"/>
  <c r="P95" i="2"/>
  <c r="Q95" i="2" s="1"/>
  <c r="P163" i="2"/>
  <c r="Q163" i="2" s="1"/>
  <c r="P103" i="2"/>
  <c r="Q103" i="2" s="1"/>
  <c r="P436" i="2"/>
  <c r="Q436" i="2" s="1"/>
  <c r="P74" i="2"/>
  <c r="Q74" i="2" s="1"/>
  <c r="P25" i="2"/>
  <c r="Q25" i="2" s="1"/>
  <c r="P211" i="2"/>
  <c r="Q211" i="2" s="1"/>
  <c r="P146" i="2"/>
  <c r="Q146" i="2" s="1"/>
  <c r="P116" i="2"/>
  <c r="Q116" i="2" s="1"/>
  <c r="P657" i="2"/>
  <c r="Q657" i="2" s="1"/>
  <c r="P586" i="2"/>
  <c r="Q586" i="2" s="1"/>
  <c r="P193" i="2"/>
  <c r="Q193" i="2" s="1"/>
  <c r="P665" i="2"/>
  <c r="Q665" i="2" s="1"/>
  <c r="P420" i="2"/>
  <c r="Q420" i="2" s="1"/>
  <c r="P87" i="2"/>
  <c r="Q87" i="2" s="1"/>
  <c r="P720" i="2"/>
  <c r="Q720" i="2" s="1"/>
  <c r="P568" i="2"/>
  <c r="Q568" i="2" s="1"/>
  <c r="P392" i="2"/>
  <c r="Q392" i="2" s="1"/>
  <c r="P12" i="2"/>
  <c r="Q12" i="2" s="1"/>
  <c r="P626" i="2"/>
  <c r="Q626" i="2" s="1"/>
  <c r="P228" i="2"/>
  <c r="Q228" i="2" s="1"/>
  <c r="P429" i="2"/>
  <c r="Q429" i="2" s="1"/>
  <c r="P740" i="2"/>
  <c r="Q740" i="2" s="1"/>
  <c r="P242" i="2"/>
  <c r="Q242" i="2" s="1"/>
  <c r="P111" i="2"/>
  <c r="Q111" i="2" s="1"/>
  <c r="P556" i="2"/>
  <c r="Q556" i="2" s="1"/>
  <c r="P492" i="2"/>
  <c r="Q492" i="2" s="1"/>
  <c r="P176" i="2"/>
  <c r="Q176" i="2" s="1"/>
  <c r="P730" i="2"/>
  <c r="Q730" i="2" s="1"/>
  <c r="P649" i="2"/>
  <c r="Q649" i="2" s="1"/>
  <c r="P319" i="2"/>
  <c r="Q319" i="2" s="1"/>
  <c r="P550" i="2"/>
  <c r="Q550" i="2" s="1"/>
  <c r="P257" i="2"/>
  <c r="Q257" i="2" s="1"/>
  <c r="P766" i="2"/>
  <c r="Q766" i="2" s="1"/>
  <c r="P779" i="2"/>
  <c r="Q779" i="2" s="1"/>
  <c r="P218" i="2"/>
  <c r="Q218" i="2" s="1"/>
  <c r="P594" i="2"/>
  <c r="Q594" i="2" s="1"/>
  <c r="P479" i="2"/>
  <c r="Q479" i="2" s="1"/>
  <c r="P4" i="2"/>
  <c r="P334" i="2"/>
  <c r="Q334" i="2" s="1"/>
  <c r="P801" i="2"/>
  <c r="Q801" i="2" s="1"/>
  <c r="P60" i="2"/>
  <c r="Q60" i="2" s="1"/>
  <c r="P125" i="2"/>
  <c r="Q125" i="2" s="1"/>
  <c r="P305" i="2"/>
  <c r="Q305" i="2" s="1"/>
  <c r="P639" i="2"/>
  <c r="Q639" i="2" s="1"/>
  <c r="P327" i="2"/>
  <c r="Q327" i="2" s="1"/>
  <c r="P235" i="2"/>
  <c r="Q235" i="2" s="1"/>
  <c r="P373" i="2"/>
  <c r="Q373" i="2" s="1"/>
  <c r="P248" i="2"/>
  <c r="Q248" i="2" s="1"/>
  <c r="P56" i="2"/>
  <c r="Q56" i="2" s="1"/>
  <c r="C31" i="1" l="1"/>
  <c r="Q822" i="2"/>
  <c r="C22" i="1"/>
  <c r="Q280" i="2"/>
  <c r="P1530" i="2"/>
  <c r="Q380" i="2"/>
  <c r="Q764" i="2"/>
  <c r="Q414" i="2"/>
  <c r="Q198" i="2"/>
  <c r="Q109" i="2"/>
  <c r="Q702" i="2"/>
  <c r="Q64" i="2"/>
  <c r="Q806" i="2"/>
  <c r="Q514" i="2"/>
  <c r="Q255" i="2"/>
  <c r="C13" i="1" s="1"/>
  <c r="Q156" i="2"/>
  <c r="Q4" i="2"/>
  <c r="C21" i="1" l="1"/>
  <c r="C20" i="1"/>
  <c r="C18" i="1"/>
  <c r="C17" i="1"/>
  <c r="C16" i="1"/>
  <c r="C15" i="1"/>
  <c r="C14" i="1"/>
  <c r="C12" i="1"/>
  <c r="C11" i="1"/>
  <c r="C10" i="1"/>
  <c r="C9" i="1"/>
  <c r="Q2" i="2"/>
  <c r="C19" i="1"/>
  <c r="C8" i="1" l="1"/>
  <c r="C33" i="1" s="1"/>
  <c r="D31" i="1" s="1"/>
  <c r="Q1530" i="2"/>
  <c r="D29" i="1" l="1"/>
  <c r="D30" i="1"/>
  <c r="D27" i="1"/>
  <c r="D28" i="1"/>
  <c r="D25" i="1"/>
  <c r="D26" i="1"/>
  <c r="D23" i="1"/>
  <c r="D24" i="1"/>
  <c r="D21" i="1"/>
  <c r="D22" i="1"/>
  <c r="D15" i="1"/>
  <c r="D9" i="1"/>
  <c r="D12" i="1"/>
  <c r="D17" i="1"/>
  <c r="D16" i="1"/>
  <c r="D20" i="1"/>
  <c r="D18" i="1"/>
  <c r="D19" i="1"/>
  <c r="D11" i="1"/>
  <c r="D10" i="1"/>
  <c r="D14" i="1"/>
  <c r="D13" i="1"/>
  <c r="D8" i="1"/>
</calcChain>
</file>

<file path=xl/sharedStrings.xml><?xml version="1.0" encoding="utf-8"?>
<sst xmlns="http://schemas.openxmlformats.org/spreadsheetml/2006/main" count="6036" uniqueCount="1218">
  <si>
    <t>PLANILHA DE COMPOSIÇÃO DE CUSTOS ESTIMATIVOS PARA CONTRATO DE INTERVENÇÕES PREDIAIS E  ADEQUAÇÕES TÉCNICAS NOS IMÓVEIS</t>
  </si>
  <si>
    <t>Data:</t>
  </si>
  <si>
    <t>BDI=</t>
  </si>
  <si>
    <t>ITEM</t>
  </si>
  <si>
    <t xml:space="preserve">DESCRIÇÃO </t>
  </si>
  <si>
    <t>VALOR
(R$)</t>
  </si>
  <si>
    <t>%</t>
  </si>
  <si>
    <t>FONTE</t>
  </si>
  <si>
    <t>COD.</t>
  </si>
  <si>
    <t>DESCRIÇÃO DO SERVIÇO</t>
  </si>
  <si>
    <t>UNID.</t>
  </si>
  <si>
    <t>COEF</t>
  </si>
  <si>
    <t>CUSTO INSUMO</t>
  </si>
  <si>
    <t>QUANT. ESTIMADAS</t>
  </si>
  <si>
    <t>MAT. UNITARIO</t>
  </si>
  <si>
    <t>M.O. UNITÁRIO</t>
  </si>
  <si>
    <t>TOTAL UNITÁRIO</t>
  </si>
  <si>
    <t>MAT. TOTAL</t>
  </si>
  <si>
    <t>M. O TOTAL</t>
  </si>
  <si>
    <t>TOTAL</t>
  </si>
  <si>
    <t>TOTAL C/ BDI</t>
  </si>
  <si>
    <t xml:space="preserve">DEMOLIÇÕES </t>
  </si>
  <si>
    <t>SINAPI</t>
  </si>
  <si>
    <t>DEMOLIÇÕES DE PISOS</t>
  </si>
  <si>
    <t>1.01</t>
  </si>
  <si>
    <t>Demolição de piso cerâmico/carpete/madeira /vinílico/cimentado - inclusive remoção do entulho.</t>
  </si>
  <si>
    <t xml:space="preserve"> m²</t>
  </si>
  <si>
    <t>COMPOSIÇÃO</t>
  </si>
  <si>
    <t>Azulejista ou Ladrilhista com encargos complementares</t>
  </si>
  <si>
    <t>h</t>
  </si>
  <si>
    <t>Servente com encargos complementares</t>
  </si>
  <si>
    <t>1.02</t>
  </si>
  <si>
    <t>Remoção/recolocação de piso elevado com revestimento em carpet</t>
  </si>
  <si>
    <t>m²</t>
  </si>
  <si>
    <t>Carpinteiro de formas com encargos complementares</t>
  </si>
  <si>
    <t>TCPO</t>
  </si>
  <si>
    <t>'02.102.000042.SER</t>
  </si>
  <si>
    <t>1.03</t>
  </si>
  <si>
    <t>Retirada de soleira ou peitoril de mármore ou granito - inclusive remoção do entulho.</t>
  </si>
  <si>
    <t>m</t>
  </si>
  <si>
    <t>DEMOLIÇÃO DE PAREDES</t>
  </si>
  <si>
    <t>1.04</t>
  </si>
  <si>
    <t>Remoção de divisória leve (naval e acartonado), ou alvenaria - inclusive remoção do entulho.</t>
  </si>
  <si>
    <t>Montador de Estrutura Metálica com encargos complementares</t>
  </si>
  <si>
    <t xml:space="preserve">DEMOLIÇÃO DE FORROS </t>
  </si>
  <si>
    <t>1.05</t>
  </si>
  <si>
    <t xml:space="preserve">Demolição de forro  monolítico ou  em placas ( gesso,  isopor,  fibra mineral e P.V.C )             </t>
  </si>
  <si>
    <t>Gesseiro com encargos complementares</t>
  </si>
  <si>
    <t>1.06</t>
  </si>
  <si>
    <t>Retirada/remoção com ou sem reaproveitamento de placas de forro modular (PVC, gesso acartonado, fibra mineral isopor, etc), inclusive remoção de entulho</t>
  </si>
  <si>
    <t>DEMOLIÇÃO DE COBERTURAS</t>
  </si>
  <si>
    <t>1.07</t>
  </si>
  <si>
    <t>Remoção de cobertura de telha cerâmica ou fibrocimento - inclusive remoção de entulho.</t>
  </si>
  <si>
    <t>Telhadista com encargos complementares</t>
  </si>
  <si>
    <t>1.08</t>
  </si>
  <si>
    <t>Remoção de estrutura de madeira para telhado - inclusive remoção do entulho.</t>
  </si>
  <si>
    <t>COMPOSIÇÃO PROPRIA</t>
  </si>
  <si>
    <t>1.09</t>
  </si>
  <si>
    <t>Remoção de calhas e rufos em chapa galvanizada - inclusive remoção do entulho</t>
  </si>
  <si>
    <t>REMOÇÃO DE ESQUADRIAS</t>
  </si>
  <si>
    <t>1.10</t>
  </si>
  <si>
    <t xml:space="preserve">Remoção de esquadrias  metálicas, com ou sem reaproveitamento,  inclusive remoção de entulho, compreendendo grades   de proteção de esquadrias ou de fechamento de terreno,  portas, janelas, pantográficas,  etc. </t>
  </si>
  <si>
    <t>INSUMO</t>
  </si>
  <si>
    <t>Cabo de aço galvanizado, diâmetro 9,53 mm (3/8"), com alma de fibra 6 x 25 F</t>
  </si>
  <si>
    <t>kg</t>
  </si>
  <si>
    <t>Pedreiro com encargos complementares</t>
  </si>
  <si>
    <t>1.11</t>
  </si>
  <si>
    <t>Remoção de esquadria de madeira , inclusive batente - inclusive remoção de entulho.</t>
  </si>
  <si>
    <t>1.12</t>
  </si>
  <si>
    <t>Remoção de esquadria  em vidro temperado 10mm - inclusive painel fixo - com reaproveitamento.</t>
  </si>
  <si>
    <t>Vidraceiro com encargos complementares</t>
  </si>
  <si>
    <t>COTAÇÃO</t>
  </si>
  <si>
    <t>1.13</t>
  </si>
  <si>
    <t>Caçamba para remoção de resíduos da construção civil – locação – capacidade mínima 5 metros cúbicos</t>
  </si>
  <si>
    <t>1.14</t>
  </si>
  <si>
    <t xml:space="preserve">Caçamba remoção de entulho de gessos e derivados, com destinação final, inclusive  – locação </t>
  </si>
  <si>
    <t>PAREDES E PAINEIS</t>
  </si>
  <si>
    <t>DIVISÓRIAS</t>
  </si>
  <si>
    <t>06.102.000005. SER</t>
  </si>
  <si>
    <t>2.01</t>
  </si>
  <si>
    <t>Divisória  naval estruturada em perfil metálico (latão)  , com painel em laminado melamínico colméia, e=35mm - instalada - Montagem N2 (Painel cego – bandeira em vidro)</t>
  </si>
  <si>
    <t>Mão-de-obra especializada para instalação de divisórias</t>
  </si>
  <si>
    <t xml:space="preserve">Divisória (N2) Painel/Vidro - Painel C/ MSO/Comeia e=35mm - Montante/Rodapé Duplo Aco galv pintado </t>
  </si>
  <si>
    <t>06.102.000015. SER</t>
  </si>
  <si>
    <t>2.02</t>
  </si>
  <si>
    <t>Divisória  naval estruturada em perfil metálico (latão)  , com painel em laminado melamínico colméia, e=35mm - instalada - Montagem N3  (Painel cego – vidro – painel cego)</t>
  </si>
  <si>
    <t xml:space="preserve">Divisória (N3) Painel/Vidro/Painel MSO/Comeia e=35mm - Montante/Rodapé Duplo Aluminio Anod Nat - </t>
  </si>
  <si>
    <t>2.03</t>
  </si>
  <si>
    <t>Parede de gesso acartonado simples interna, espessura final 100  mm, pé-direito máximo 3,75 m</t>
  </si>
  <si>
    <t>Pino de aco com arruela conica, diametro arruela = *23* mm e comp haste = *27* mm (acao indireta)</t>
  </si>
  <si>
    <t>cento</t>
  </si>
  <si>
    <t>Chapa de gesso acartonado, standard (st), cor branca, e = 12,5 mm, 1200 x 2400 mm (l x c)</t>
  </si>
  <si>
    <t>Perfil guia, formato u, em aco zincado, para estrutura parede drywall, e = 0,5 mm, 70 x 3000 mm (l x c)</t>
  </si>
  <si>
    <t>Perfil montante, formato c, em aco zincado, para estrutura parede drywall, e = 0,5 mm, 70 x 3000 mm (l x c)</t>
  </si>
  <si>
    <t>Fita de papel microperfurado, 50 x 150 mm, para tratamento de juntas de chapa de gesso para drywall</t>
  </si>
  <si>
    <t>Fita de papel reforcada com lamina de metal para reforco de cantos de chapa de gesso para drywall</t>
  </si>
  <si>
    <t>Massa de rejunte em po para drywall, a base de gesso, secagem rapida, para tratamento de juntas de chapa de gesso (com adicao de agua)</t>
  </si>
  <si>
    <t>Parafuso drywall, em aco fosfatizado, cabeca trombeta e ponta agulha (ta), comprimento 25 mm</t>
  </si>
  <si>
    <t>Parafuso drywall, em aco zincado, cabeca lentilha e ponta broca (lb), largura 4,2 mm, comprimento 13 mm</t>
  </si>
  <si>
    <t>06.102.000050.SER</t>
  </si>
  <si>
    <t>2.04</t>
  </si>
  <si>
    <t>Parede de gesso acartonado para área úmida (chapa verde), espessura final 100 mm, pé-direito máximo 4,00 m - instalado conforme recomendações do fabricante - Referência: Placo ou similar.</t>
  </si>
  <si>
    <t>'06.102.000050.SER</t>
  </si>
  <si>
    <t>Parede de gesso acartonado simples para ambiente sujeito a umidade # 100 mm x 3,15 m de altura</t>
  </si>
  <si>
    <t>2.05</t>
  </si>
  <si>
    <t>Isolamento térmco de parede interna empregando painel flexível de fibra de vidro, e=5 cm, fixados com adesivo hidro asfáltico.</t>
  </si>
  <si>
    <t>Montador com encargos complementares</t>
  </si>
  <si>
    <t>Feltro em la de rocha, 1 face revestida com papel aluminizado, em rolo, densidade = 32 kg/m3, e=*50* mm (coletado caixa)</t>
  </si>
  <si>
    <t>2.06</t>
  </si>
  <si>
    <t>Alvenaria de vedação com blocos cerâmico furados 14 x 19 x 19 cm (furos horizontais), espessura da parede 19 cm, juntas de 12 mm com argamassa mista de cimento, cal hidratada e areia sem peneirar traço 1:2:8 .</t>
  </si>
  <si>
    <t>Bloco ceramico de vedacao com furos na vertical, 19 x 19 x 39 cm - 4,5 mpa (NBR 15270)</t>
  </si>
  <si>
    <t>un</t>
  </si>
  <si>
    <t>Argamassa traço 1:2:8 (em volume de cimento, cal e areia média úmida) para emboço/massa única/assentamento de alvenaria de vedação, preparo mecânico com betoneira 400 l. Af_08/2019</t>
  </si>
  <si>
    <t>m³</t>
  </si>
  <si>
    <t>Tela de aco soldada galvanizada/zincada para alvenaria, fio  d = *1,20 a 1,70* mm, malha 15 x 15 mm, (c x l) *50 x 17,5* cm</t>
  </si>
  <si>
    <t>Pino de aco com furo, haste = 27 mm (acao direta)</t>
  </si>
  <si>
    <t>2.07</t>
  </si>
  <si>
    <t>Furo em concreto, com coroas diamantadas,  (diâmetro: 1" a 3 1/4", com  profundidade de 10 a 40 cm</t>
  </si>
  <si>
    <t>Auxiliar de encanador com encargos complementares</t>
  </si>
  <si>
    <t>Encanador com encargos complementares</t>
  </si>
  <si>
    <t xml:space="preserve">Martelete ou rompedor pneumático manual, 28 kg, com silenciador </t>
  </si>
  <si>
    <t>chp</t>
  </si>
  <si>
    <t>chi</t>
  </si>
  <si>
    <t>REVESTIMENTOS</t>
  </si>
  <si>
    <t>3.01</t>
  </si>
  <si>
    <t>Chapisco para parede interna ou externa com argamassa de cimento e areia sem peneirar traço 1:3, e=5mm</t>
  </si>
  <si>
    <t>Argamassa industrializada para chapisco colante, preparo com misturador de eixo horizontal de 300 kg. Af_08/2019</t>
  </si>
  <si>
    <t>3.02</t>
  </si>
  <si>
    <t>Emboço para parede interna com argamassa de cal hidratada e areia sem peneirar traço 1:3, e=20 mm</t>
  </si>
  <si>
    <t>20.104.000017.SER</t>
  </si>
  <si>
    <t>3.03</t>
  </si>
  <si>
    <t>Reboco para parede interna ou externa, com argamassa de cal hidratada e areia peneirada traço 1:2, e=5 mm</t>
  </si>
  <si>
    <t>'20.104.000017.SER</t>
  </si>
  <si>
    <t>'Reboco em parede interna, mão de obra para execução</t>
  </si>
  <si>
    <t>m2</t>
  </si>
  <si>
    <t>'Argamassa de cal hidratada e areia peneirada traço 1:2</t>
  </si>
  <si>
    <t>3.04</t>
  </si>
  <si>
    <t>Peitoril ou soleira de granito natural, assentado com argamassa mista de cimento, cal hidratada e areia sem peneirar traço 1:1:4 (largura: 25 cm)</t>
  </si>
  <si>
    <t>Marmorista/ Graniteiro com encargos complementares</t>
  </si>
  <si>
    <t xml:space="preserve">Argamassa traço 1:6 (em volume de cimento e areia média úmida) com adição De plastificante para emboço/massa única/assentamento de alvenaria de vedação, preparo mecânico com betoneira 400 l. </t>
  </si>
  <si>
    <t xml:space="preserve">Serra circular de bancada com motor elétrico potência de 5hp, com coifa para disco 10" - chp diurno. </t>
  </si>
  <si>
    <t xml:space="preserve">Serra circular de bancada com motor elétrico potência de 5hp, com coifa para disco 10" - chi diurno. </t>
  </si>
  <si>
    <t>Peitoril/ soleira em marmore, polido, branco comum, l= *25* cm, e=  *3* cm, corte reto</t>
  </si>
  <si>
    <t>3.05</t>
  </si>
  <si>
    <t>Azulejo branco 30x20cm (ou medidas  similares|) - classe A - assentado com argamassa pré-fabricada de cimento colante, juntas a prumo - Referência: Incepa ou similar.Inclusive rejunte.</t>
  </si>
  <si>
    <t>Azulejista ou Ladrilhista  com encargos complementares</t>
  </si>
  <si>
    <t>Argamassa colante ac i para ceramicas cerâmicas</t>
  </si>
  <si>
    <t>Rejunte cimenticio, qualquer cor</t>
  </si>
  <si>
    <t>Revestimento em ceramica esmaltada comercial, pei menor ou igual a 3, formato menor ou igual a 2025 cm2</t>
  </si>
  <si>
    <t>Composição própria</t>
  </si>
  <si>
    <t>3.06</t>
  </si>
  <si>
    <t>Requadro de vão com argamassa mista de cimento,cal e areia - cantos vivos</t>
  </si>
  <si>
    <t xml:space="preserve">m </t>
  </si>
  <si>
    <t>Cimento CP-32</t>
  </si>
  <si>
    <t>Areia média lavada</t>
  </si>
  <si>
    <t>'12.106.000050.SER</t>
  </si>
  <si>
    <t>3.07</t>
  </si>
  <si>
    <t>Enchimento de juntas de movimentação com elastômero à base de borracha de poliuretano com seção transversal 2x2 cm </t>
  </si>
  <si>
    <t>Espuma de poliuretano monocomponente aerosol 500 ml</t>
  </si>
  <si>
    <t>06.103.000460.SER</t>
  </si>
  <si>
    <t>3.08</t>
  </si>
  <si>
    <t>Entelamento corretivo de superfície com trinca por retração ou dilatação, revestida com argamassa de cal hidratada e areia sem peneirar traço 1:3, largura da tela = 15 cm</t>
  </si>
  <si>
    <t>Tela de poliéster adesiva largura 150 mm e reforço central de 50 mm</t>
  </si>
  <si>
    <t>Argamassa de cal hidratada e areia traço 1:3</t>
  </si>
  <si>
    <t>FORROS</t>
  </si>
  <si>
    <t>21.101.000010. SER</t>
  </si>
  <si>
    <t>4.01</t>
  </si>
  <si>
    <t>Forro acústico de fibra mineral removível, modulação 625 x 625  ou 625x1250 mm, apoiados em perfis metálicos tipo "T" suspensos por perfis rígidos, e=15 mm, inclusive fornecimento e instalação dos perfis de sustentação</t>
  </si>
  <si>
    <t>Ajudante de carpinteiro com encargos complementares</t>
  </si>
  <si>
    <t>Forro de fibra mineral acústico removível branco (largura: 625 mm / absorção sonora: 0,65 NRC / atenuação sonora: 34 dB / espessura: 15 mm / comprimento: 625 mm)</t>
  </si>
  <si>
    <t>4.02</t>
  </si>
  <si>
    <t>Forro de gesso acartonado removível, com película de vinil branca na face inferior - apoiados em perfis metálicos tipo "T" suspensos por pendurais rígidos (comprimento: 0,65 m / espessura: 12,5 mm / largura: 0,65 m) - Referência: Placo ou similar, incluindo materiais necessários à montagem fixação - instalado</t>
  </si>
  <si>
    <t>Montador de estrutura metálica com encargos complementares</t>
  </si>
  <si>
    <t>INSUMO
SUBSTITUIDO</t>
  </si>
  <si>
    <t>Placa / chapa de gesso acartonado, acabamento vinilico liso em uma das faces cor branca, borda quadrada, e = 9,5 mm, 625 x 625 mm (l x c), para forro removivel.</t>
  </si>
  <si>
    <t>Perfil canaleta, formato c, em aco zincado, para estrutura forro drywall, e = 0,5 mm, *46 x 18* (l x h), comprimento 3 m</t>
  </si>
  <si>
    <t>Pendural ou presilha reguladora, em aco galvanizado, com corpo, mola e rebite, para perfil tipo canaleta de estrutura em forros drywall</t>
  </si>
  <si>
    <t>Parafuso dry wall, em aco fosfatizado, cabeca trombeta e ponta agulha (ta), comprimento 25 mm</t>
  </si>
  <si>
    <t>Parafuso dry wall, em aco zincado, cabeca lentilha e ponta broca (lb), largura 4,2 mm, comprimento 13 mm</t>
  </si>
  <si>
    <t>Parafuso zincado, autobrocante, flangeado, 4,2 mm x 19 mm</t>
  </si>
  <si>
    <t>Arame galvanizado 6 bwg, d = 5,16 mm (0,157 kg/m), ou 8 bwg, d = 4,19 mm (0,101 kg/m), ou 10 bwg, d = 3,40 mm (0,0713 kg/m)</t>
  </si>
  <si>
    <t>4.03</t>
  </si>
  <si>
    <t>Forro de gesso acartonado fixo, monolítico, aparafusado em perfis metálicos espaçados a 0,60m, suspensos por pendurais rígidos reguláveis, espaçados a cada 1,00 m (espessura: 12,5 mm) - Referência: Placo ou similar - instalado.</t>
  </si>
  <si>
    <t>COMPOSIÇÃO PRÓPRIA</t>
  </si>
  <si>
    <t>4.04</t>
  </si>
  <si>
    <t>4.05</t>
  </si>
  <si>
    <t>Fornecimento e instalação  de placas de forro modular em gesso acartonado, em estrutura existente, dimensões 1250mmx625mm ou 625x625mm - apenas as placas</t>
  </si>
  <si>
    <t>PISOS INTERNOS</t>
  </si>
  <si>
    <t>5.01</t>
  </si>
  <si>
    <t>Granito em placa padronizada, assentada com argamassa pré-fabricada de cimento colante, inclusive rejuntamento de juntas de 2 mm (comprimento da placa: 30 cm / largura da placa: 15 cm)</t>
  </si>
  <si>
    <t>Marmorista/graniteiro com encargos complementares</t>
  </si>
  <si>
    <t>Argamassa colante tipo AC III</t>
  </si>
  <si>
    <t>Piso em granito, polido, tipo andorinha/ quartz/ castelo/ corumba ou outros equivalentes da regiao, formato menor ou igual a 3025 cm2, e=  *2* cm</t>
  </si>
  <si>
    <t>09606.8.3.1</t>
  </si>
  <si>
    <t>5.02</t>
  </si>
  <si>
    <t>Rejuntamento de piso cerâmico com rejunte flexível, espessura da junta: 6 mm - Referênica: Quartzolit ou similar.</t>
  </si>
  <si>
    <t>5.03</t>
  </si>
  <si>
    <t>Rodapé cerâmico assentado com argamassa pré-fabricada de cimento colante, altura 7 a 8 cm - mesmo padrão do piso cerâmico aplicado.</t>
  </si>
  <si>
    <t>Azulejista ou ladrilhista com encargos complementares</t>
  </si>
  <si>
    <t>Argamassa colante AC I para cerâmicas</t>
  </si>
  <si>
    <t>Piso em ceramica esmaltada extra, pei maior ou igual a 4, formato menor ou igual a 2025 cm2</t>
  </si>
  <si>
    <t>5.04</t>
  </si>
  <si>
    <t>Rodapé de madeira itaúba - altura: 7 cm, fixado sobre tacos embutidos na parede, espaçados de 50 cm.</t>
  </si>
  <si>
    <t>Taqueiro com encargos complementares</t>
  </si>
  <si>
    <t>Rodape de madeira macica cumaru/ipe champanhe ou equivalente da regiao, *1,5 x 7 cm</t>
  </si>
  <si>
    <t>Cola branca base PVA</t>
  </si>
  <si>
    <t>l</t>
  </si>
  <si>
    <t>5.05</t>
  </si>
  <si>
    <t>Fornecimento/instalação de fita antiderrapante em pisos, largura 5cm - inclusive cola de contato para correta fixação.</t>
  </si>
  <si>
    <t xml:space="preserve">Fita antiderrapante em pisos, largura 5cm - inclusive cola de contato para correta fixação. </t>
  </si>
  <si>
    <t>5.06</t>
  </si>
  <si>
    <t>Piso cerâmico esmaltado assentado com argamassa pré-fabricada de cimento colante dimensão: 40 x 40 cm (medidas aproximadas)</t>
  </si>
  <si>
    <t>Azulejista ou ladrilhista  com encargos complementares</t>
  </si>
  <si>
    <t>5.07</t>
  </si>
  <si>
    <t>Piso em concreto 20 mpa preparo mecanico, espessura 7cm, incluso selante elastico a base de poliuretano</t>
  </si>
  <si>
    <t>Desempenadeira de concreto, peso de 75kg, 4 pás, motor a gasolina, potênci chp 5,5 hp - chp diurno</t>
  </si>
  <si>
    <t>Concreto usinado bombeável, classe de resistência c20, com brita 0 e 1, slump = 100 +/- 20 mm, exclui serviço de bombeamento</t>
  </si>
  <si>
    <t>Endurecedor mineral de base cimentícia para piso de concreto</t>
  </si>
  <si>
    <t>5.08</t>
  </si>
  <si>
    <t>Regularização de superfície com argamassa mista virada em obra, traço 1:3 (cimento e areia média)</t>
  </si>
  <si>
    <t>Argamassa traço 1:4 (em volume de cimento e areia média úmida) para contrapiso, preparo mecânico com betoneira 400 l. Af_08/2019</t>
  </si>
  <si>
    <t>Cimento portland composto CP II-32</t>
  </si>
  <si>
    <t>5.09</t>
  </si>
  <si>
    <t>Porcelanato polido 40 x 40 cm assentado com argamassa pré-fabricada de cimento colante</t>
  </si>
  <si>
    <t>Piso em porcelanato retificado extra, formato menor ou igual a 2025 cm2</t>
  </si>
  <si>
    <t>PISOS EXTERNOS</t>
  </si>
  <si>
    <t>6.01</t>
  </si>
  <si>
    <t>Lastro de brita 3 e 4 apiloado manualmente com maço de até 30 kg</t>
  </si>
  <si>
    <t>Placa vibratória reversível com motor 4 tempos a gasolina, força centrífuga de 25 kN (2500 kgf), potência 5,5 cv - CHP diurno. Af_08/2015</t>
  </si>
  <si>
    <t>Placa vibratória reversível com motor 4 tempos a gasolina, força centrífuga de 25 kN (2500 kgf), potência 5,5 cv - CHI diurno. Af_08/2015</t>
  </si>
  <si>
    <t>Pedra britada n. 2 (19 a 38 mm) posto pedreira/fornecedor, sem frete</t>
  </si>
  <si>
    <t>6.02</t>
  </si>
  <si>
    <t>Lastro de concreto (contra-piso) não estrutural impermeabilizado, incluindo lançamento, espessura: 6 cm</t>
  </si>
  <si>
    <t>Concreto magro para lastro, traço 1:4,5:4,5 (cimento/ areia média/ brita 1)  - preparo mecânico com betoneira 600 l. Af_07/2016</t>
  </si>
  <si>
    <t>6.03</t>
  </si>
  <si>
    <t>Execução de piso de concreto intertravado tipo paver, 10x20x10cm, assentado sobre base nivelada e compactada, sobre coxim de areia/saibro, com pó de pedra e argamassa mista de cimento, cal e areia nas juntas</t>
  </si>
  <si>
    <t>Calceteiro  com encargos complementares</t>
  </si>
  <si>
    <t>Placa vibratória reversível com motor 4 tempos a gasolina, força centrífuga de 25 kn (2500 kgf), potência 5,5 cv - chp diurno. Af_08/2015</t>
  </si>
  <si>
    <t>Placa vibratória reversível com motor 4 tempos a gasolina, força centrífuga de 25 kN (2500 kgf), potência 5,5 cv - chi diurno. Af_08/2015</t>
  </si>
  <si>
    <t>Cortadora de piso com motor 4 tempos a gasolina, potência de 13 hp, com disco de corte diamantado segmentado para concreto, diâmetro de 350 mm, furo de 1" (14 x 1") - chp diurno. Af_08/2015</t>
  </si>
  <si>
    <t>Cortadora de piso com motor 4 tempos a gasolina, potência de 13 hp, com disco de corte diamantado segmentado para concreto, diâmetro de 350 mm, furo de 1" (14 x 1") - chi diurno. Af_08/2015</t>
  </si>
  <si>
    <t>Areia media - posto jazida/fornecedor (retirado na jazida, sem transporte)</t>
  </si>
  <si>
    <t>Po de pedra (posto pedreira/fornecedor, sem frete)</t>
  </si>
  <si>
    <t>Bloquete/piso intertravado de concreto - modelo onda/16 faces/retangular/tijolinho/paver/holandes/paralelepipedo, 20 cm x 10 cm, e = 10 cm, resistencia de 35 MPa (NBR 9781), cor natural</t>
  </si>
  <si>
    <t>COBERTURAS/ESTRUTURAS METÁLICAS E DE MADEIRA</t>
  </si>
  <si>
    <t>7.02</t>
  </si>
  <si>
    <t>Estrutura de madeira para telha cerâmica ou de concreto , vão de 7 a 12 m - Itaúba ou similar, com utilização de ripas 1X2”  e caibro 3x5”, com espaçamento máximo de 80 centímetros, dotados de ripão 1x3 instalados na horizontal em relação ao caibro, com reforços inclinados a cada 2,00 metros  e com reforço vertical a cada metro.</t>
  </si>
  <si>
    <t>Guincho elétrico de coluna, capacidade 400 kg, com moto freio, motor trifásico de 1,25 cv - chp diurno. Af_03/2016</t>
  </si>
  <si>
    <t>Guincho elétrico de coluna, capacidade 400 kg, com moto freio, motor trifásico de 1,25 cv - chi diurno. Af_03/2016</t>
  </si>
  <si>
    <t>Ripa de madeira nao aparelhada *1,5 x 5* cm, macaranduba, angelim ou equivalente da regiao</t>
  </si>
  <si>
    <t>Viga de madeira nao aparelhada 6 x 12 cm, macaranduba, angelim ou equivalente da regiao</t>
  </si>
  <si>
    <t>Caibro de madeira nao aparelhada *5 x 6* cm, macaranduba, angelim ou equivalente da regiao</t>
  </si>
  <si>
    <t>Prego de aco polido com cabeca 15 x 15 (1 1/4 x 13)</t>
  </si>
  <si>
    <t>-</t>
  </si>
  <si>
    <t>Prego de aco polido com cabeca 19  x 36 (3 1/4  x  9)</t>
  </si>
  <si>
    <t>Prego de aco polido com cabeca 22 x 48 (4 1/4 x 5)</t>
  </si>
  <si>
    <t>7.03</t>
  </si>
  <si>
    <t>Estrutura de madeira tipo tesoura ou dotada de treliça de reforço em espaçamento não superior a 2 metros , com utilização de caibro 3X5 e ripão 1x3  para telha ondulada de fibrocimento, alumínio ou plástica , vão de 10 m - Itaúba ou similar.- com exceção dos da união caibro/ripão, que poderá ser feita com prego, as demais deverão ser feitas com barra roscada de ¼ porca sextavadas e arruelas ou parafusos porcas e arruelas nas bitolas de ¼ - estrutura apoiada/ancorada sobre paredes ou vigas</t>
  </si>
  <si>
    <t>Carpinteiro com encargos complementares</t>
  </si>
  <si>
    <t>Instalação de tesoura (inteira ou meia), biapoiada, em madeira não aparelhada, para vãos maiores ou iguais a 10,0 m e menores que 12,0 m, incluso içamento. Af_07/2019</t>
  </si>
  <si>
    <t>Parafuso frances metrico zincado, diametro 12 mm, comprimento 150 mm, com porca sextavada e arruela de pressao media</t>
  </si>
  <si>
    <t>Caibro de madeira nao aparelhada *6 x 8* cm, macaranduba, angelim ou equivalente da regiao</t>
  </si>
  <si>
    <t>Sarrafo de madeira nao aparelhada 2,5 x 5 cm, macaranduba, angelim ou equivalente da regiao</t>
  </si>
  <si>
    <t>Viga de madeira nao aparelhada *6 x 16* cm, macaranduba, angelim ou equivalente da regiao</t>
  </si>
  <si>
    <t>Tabua de madeira nao aparelhada *2,5 x 20* cm, cedrinho ou equivalente da regiao</t>
  </si>
  <si>
    <t>Estribo com parafuso em chapa de ferro fundido de 2" x 3/16" x 35 cm, secao "u", para madeiramento de telhado</t>
  </si>
  <si>
    <t>Chapa para emenda de viga, em aco grosso, qualidade estrutural, bitola 3/16 ", e= 4,75 mm, 4 furos, largura 45 mm, comprimento 500 mm</t>
  </si>
  <si>
    <t>par</t>
  </si>
  <si>
    <t>09.103.000063.SER</t>
  </si>
  <si>
    <t>7.04</t>
  </si>
  <si>
    <t>Estrutura de madeira tipo tesoura ou dotada de treliça de reforço em espaçamento não superior a 2 metros , com utilização de caibro 3X5 e ripão 1x3  para telha ondulada de fibrocimento, alumínio ou plástica , vão de 15 m – Itaúba ou similar.- com exceção dos da união caibro/ripão, que poderá ser feita com prego, as demais deverão ser feitas com barra roscada de ¼ porca sextavadas e arruelas ou parafusos porcas e arruelas nas bitolas de ¼ – estrutura apoiada/ancorada sobre paredes ou vigas</t>
  </si>
  <si>
    <t>Madeira bruta peroba</t>
  </si>
  <si>
    <t>Chapa de aço para emenda de tesouras em telhados 4" x 1/4" x 50 cm</t>
  </si>
  <si>
    <t>Prego com cabeça 18 x 27, 62,1 mm x Ø 3,4 mm</t>
  </si>
  <si>
    <t>TELHAS</t>
  </si>
  <si>
    <t>7.05</t>
  </si>
  <si>
    <t xml:space="preserve">Cobertura com telha cerâmica tipo francesa/romana/portuguesa, etc, inclinação 35% </t>
  </si>
  <si>
    <t>Telha de barro / ceramica, tipo romana, americana, portuguesa, francesa, comprimento de *41* cm,  rendimento de *16* telhas/m2</t>
  </si>
  <si>
    <t>7.06</t>
  </si>
  <si>
    <t>Cobertura com telha de fibrocimento - referência: Ethernit ou similar - perfil ondulado, e = 6 mm, altura 125 mm, largura útil 1.020 mm e largura nominal 1.064 mm, inclinação 27% - inclusive parafusos de fixação - inclusive cummerias, ponteiras e acabamen</t>
  </si>
  <si>
    <t>Conjunto arruelas de vedacao 5/16" para telha fibrocimento (uma arruela metalica e uma arruela pvc - conicas)</t>
  </si>
  <si>
    <t>Parafuso zincado rosca soberba, cabeca sextavada, 5/16 " x 250 mm, para fixacao de telha em madeira</t>
  </si>
  <si>
    <t>Telha de fibrocimento ondulada e = 6 mm, de 2,44 x 1,10 m (sem amianto)</t>
  </si>
  <si>
    <t>7.07</t>
  </si>
  <si>
    <t>Rufo de chapa de aço galvanizado nº 24 desenvolvimento 33 cm</t>
  </si>
  <si>
    <t>CHP</t>
  </si>
  <si>
    <t>CHI</t>
  </si>
  <si>
    <t>Selante elastico monocomponente a base de poliuretano (pu) para juntas diversas</t>
  </si>
  <si>
    <t>310 ml</t>
  </si>
  <si>
    <t>Prego de aco polido com cabeca 18 x 27 (2 1/2 x 10)</t>
  </si>
  <si>
    <t>Rebite de aluminio vazado de repuxo, 3,2 x 8 mm (1kg = 1025 unidades)</t>
  </si>
  <si>
    <t>Solda em barra de estanho-chumbo 50/50</t>
  </si>
  <si>
    <t>Rufo interno/externo de chapa de aco galvanizada num 24, corte 25 cm</t>
  </si>
  <si>
    <t>7.08</t>
  </si>
  <si>
    <t>Calha de chapa galvanizada nº 24 desenvolvimento 50 cm - instalada.</t>
  </si>
  <si>
    <t>Calha quadrada de chapa de aco galvanizada num 24, corte 50 cm</t>
  </si>
  <si>
    <t>7.09</t>
  </si>
  <si>
    <t>Condutor de águas pluviais em PVC de 100 mm de dâmetro instalado, incluindo anel de borracha e pasta lubrificante</t>
  </si>
  <si>
    <t>Assentador (tubo aço/equipamentos) com encargos complementares</t>
  </si>
  <si>
    <t>Tubo PVC  serie normal, DN 100 mm, para esgoto predial (NBR 5688)</t>
  </si>
  <si>
    <t xml:space="preserve">Anel borracha, para tubo pvc, rede coletor esgoto, dn 100 mm (nbr 7362) </t>
  </si>
  <si>
    <t>Pasta lubrificante para tubos e conexões com junta elástica (uso em pvc, aço, polietileno e outros) ( de *400* g)</t>
  </si>
  <si>
    <t>IMPERMEABILIZAÇÃO</t>
  </si>
  <si>
    <t>8.01</t>
  </si>
  <si>
    <t>Impermeabilização de piso ou lajes de cobertura, com três demãos de emulsão asfáltica - cruzadas</t>
  </si>
  <si>
    <t>Impermeabilizador com encargos complementares</t>
  </si>
  <si>
    <t>Ajudante especializado com encargos complementares</t>
  </si>
  <si>
    <t>Manta liquida de base asfaltica modificada com a adicao de elastomeros diluidos em solvente organico, aplicacao a frio (membrana impermeabilizante asfastica)</t>
  </si>
  <si>
    <t>8.02</t>
  </si>
  <si>
    <t>Recuperação de estruturas de concreto com adesivo estrutural</t>
  </si>
  <si>
    <t>Argamassa polimerica impermeabilizante semiflexivel, bicomponente (membrana impermeabilizante acrilica)</t>
  </si>
  <si>
    <t>8.03</t>
  </si>
  <si>
    <t>Impermeabilizacao de superficie com argamassa de cimento e areia (media), traco 1:3, com aditivo impermeabilizante, e=2cm.</t>
  </si>
  <si>
    <t>Servente  com encargos complementares</t>
  </si>
  <si>
    <t>Argamassa traço 1:3 (em volume de cimento e areia média úmida) para contrapiso, preparo mecânico com betoneira 400 l. Af_08/2019</t>
  </si>
  <si>
    <t>Aditivo impermeabilizante de pega normal para argamassas e concretos sem armacao, liquido e isento de cloretos</t>
  </si>
  <si>
    <t>L</t>
  </si>
  <si>
    <t>8.04</t>
  </si>
  <si>
    <t>Impermeabilizacao de superficie com manta asfaltica (com polimeros tipo app), e=5 mm</t>
  </si>
  <si>
    <t>Primer para manta asfaltica a base de asfalto modificado diluido em solvente, aplicacao a frio</t>
  </si>
  <si>
    <t>Manta asfaltica elastomerica em poliester 3 mm, tipo iii, classe b, acabamento pp (NBR 9952)</t>
  </si>
  <si>
    <t>Manta asfaltica elastomerica em poliester 4 mm, tipo iii, classe b, acabamento pp (NBR 9952)</t>
  </si>
  <si>
    <t>Gás de cozinha - GLP</t>
  </si>
  <si>
    <t>8.05</t>
  </si>
  <si>
    <t xml:space="preserve">Manta de isolamento térmico para subcobertura aluminizada,  reforçado por  lâminas de polietileno expandido  e=5 mm. </t>
  </si>
  <si>
    <t>Manta aluminizada nas duas faces, para subcobertura,  e = *2* mm</t>
  </si>
  <si>
    <t>Fita adesiva aluminizada, para instalacao de mantas de subcobertura,  l = *5* cm</t>
  </si>
  <si>
    <t>ESQUADRIAS</t>
  </si>
  <si>
    <t>Cotações: uperserg-americana -tudo forte</t>
  </si>
  <si>
    <t>9.01</t>
  </si>
  <si>
    <t xml:space="preserve">Kit  para  automação de portões (basculante, deslizante) , incluindo  acessórios necessários ao perfeito funcionamento (cremalheiras, fim de curso, etc.) e dois controles remotos,  com as caracteristicas técnicas mínimas conforme segue abaixo - INSTALADO  Especificações Portão
Ciclo/hora - 100
Potência do motor (W) = 368
Potência do motor (CV)= 1/3
Velocidade (m/min) - 108
Tensão (V)=127/220
Corrente (A)=5,0 / 2,6
Capacitor (UF)=45/15
Força de arraste (Kgf) = 100
Peso aproximado 24kg
</t>
  </si>
  <si>
    <t>Cotações:magazine luiza,upperseg,central portões</t>
  </si>
  <si>
    <t>9.02</t>
  </si>
  <si>
    <t xml:space="preserve">Kit de corrente para  automatização  de portão PIVOTANTE (UMA FOLHA), incluindo  cremalheira e dois controles remotos com as caractéristicas técnicas conforme segue, marca peccnin ou similar.  – Instalado Especificações Portão
Ciclo/hora - 100
Potência do motor (W) = 368
Potência do motor (CV)= 1/3
Velocidade (m/min) - 108
Tensão (V)=127/220
Corrente (A)=5,0 / 2,6
Capacitor (UF)=45/15
Força de arraste (Kgf) = 100
Peso aproximado 24kg
</t>
  </si>
  <si>
    <t>Cotações:americanas,upperseg, net alarme</t>
  </si>
  <si>
    <t>9.03</t>
  </si>
  <si>
    <t xml:space="preserve">Kit  de   automação para portão basculante simples ou dobrável (com joelho), incluindo  acessórios necessários ao perfeito funcionamento do conjunto (portão e kit), como cabos, caixas de contra-peso guias, roldanas, suportes etc,  e dois controles remotos   Especificações Portão -Ref. Basculante Peccinin 2000Ciclo/hora - 60
Potência do motor (W) = 552
Potência do motor (CV)= 1/3
Tempo de abertura= 16 s
Tensão (V)= 220
Corrente (A)= 4,0
Peso máximo do portão = 350 kg
</t>
  </si>
  <si>
    <t>PORTAS DE MADEIRA</t>
  </si>
  <si>
    <t>90844 
e
90825</t>
  </si>
  <si>
    <t>9.04</t>
  </si>
  <si>
    <t>Porta externa de madeira maciça Itaúba, colocação e acabamento , de uma folha com batente, guarnição e ferragem 0,80 ou 0,90 x 2,10 m</t>
  </si>
  <si>
    <t>Batente para aporta completo com guarnições</t>
  </si>
  <si>
    <t>COMPOSIÇÃO
SUBSTITUÍDA</t>
  </si>
  <si>
    <t xml:space="preserve">Porta de madeira, folha média (NBR 15930) de 80cm ou 90cm </t>
  </si>
  <si>
    <t>Fechadura de embutir com cilindro, completa</t>
  </si>
  <si>
    <t>Alizar/guarnição 5x2cm</t>
  </si>
  <si>
    <t>100675
e
91306</t>
  </si>
  <si>
    <t>9.05</t>
  </si>
  <si>
    <t>Porta de compensado encabeçado, interna, revestida em laminado melanínico e perfil metálico em  latão ou alumínio  - colocação e acabamento , para acoplamento em divisórias de painel préfabricado, e=35 mm</t>
  </si>
  <si>
    <t>Carpinteiro de esquadria com encargos complementares</t>
  </si>
  <si>
    <t>Espuma expansiva de poiluretano, aplicação manual - 500ml</t>
  </si>
  <si>
    <t>Kit Porta de madeira, acabamento melaminico</t>
  </si>
  <si>
    <t>COMPOSIÇÃO
ACRESCENTADA</t>
  </si>
  <si>
    <t>Fechadura de embutir para portas internas completa</t>
  </si>
  <si>
    <t>9.06</t>
  </si>
  <si>
    <t>Porta interna de madeira encabeçada,  para verniz, padrão Itaúba - colocação e acabamento , de uma folha com batente, guarnição e ferragem, 0,80 ou 0,90 x 2,10 m</t>
  </si>
  <si>
    <t>9.07</t>
  </si>
  <si>
    <t>Porta interna DE CORRER, 1400 A 1600mm X 2100mm, confeccio em  madeira encabeçada,  para verniz, padrão Itaúba - colocação e acabamento , de uma  ou duas folhas inlcuindo batente, guarnição e ferragem</t>
  </si>
  <si>
    <t>jg</t>
  </si>
  <si>
    <t>Porta de madeira encabeçada 0,70 x 2,10m</t>
  </si>
  <si>
    <t>JANELAS DE ALUMÍNIO</t>
  </si>
  <si>
    <t>9.08</t>
  </si>
  <si>
    <t>Janela de alumínio sob encomenda, colocação e acabamento , com perfil de espessura  mínima de perfil 1,8 mm e largura mínima 30mm, natural ou pintado, basculante, maxi ar, ou de correr, com contramarcos, ferragens e fechaduras.</t>
  </si>
  <si>
    <t>Parafuso de aco zincado com rosca soberba, cabeca chata e fenda simples, diametro 4,2 mm, comprimento * 32 * mm</t>
  </si>
  <si>
    <t>Silicone acetico uso geral incolor 280 g</t>
  </si>
  <si>
    <t>102184 +
11522 puxador</t>
  </si>
  <si>
    <t>9.09</t>
  </si>
  <si>
    <t>Porta de abrir (pivotada) para vão de 900 x 2100mm (uma folha), em vidro temperado incolor ou fumê 10 mm,  com bandeira ou não, incluindo todos os acessórios necessários a instalação, com  puxadores  verticais  em aço escovado 30cm    -  referência: blindex ou similar. instalada com mola de piso ou aérea</t>
  </si>
  <si>
    <t>Jogo de ferragens cromadas p/porta de vidro temeprado (Dobradiça inf.; dobradiça sup.; pivô para dobradiça inf.; pivô para dobradiça sup.; fechadura central em zamac cromado; contra fechadura de pressão)</t>
  </si>
  <si>
    <t>Vidro temperado incolor E= 10mm</t>
  </si>
  <si>
    <t>Mola hidráulica de piso ou aérea</t>
  </si>
  <si>
    <t>Puxador concha de embutir, em latão cromado</t>
  </si>
  <si>
    <t>102185 +
11522 puxador</t>
  </si>
  <si>
    <t>9.10</t>
  </si>
  <si>
    <t>Porta de abrir (pivotada) para vão de 1800 x 2100mm (duas folhas), em vidro temperado incolor ou fumê 10 mm,  com bandeira ou não, incluindo todos os acessórios necessários a instalação, com  puxadores  verticais  em aço escovado 30cm    -  referência: blindex ou similar. instalada com mola de piso ou aérea</t>
  </si>
  <si>
    <t>Jogo de ferragens cromadas p/porta de vidro temeprado</t>
  </si>
  <si>
    <t>102185 +
11522 puxador
 SEM O VIDRO TEMP.</t>
  </si>
  <si>
    <t>9.11</t>
  </si>
  <si>
    <t>Instalação, com aproveitamento de material, de porta em vidro  temperado pivotada, de abrir ou de correr, incluindo acessórios necessários à instalação (ferragens e fechadura)</t>
  </si>
  <si>
    <t>102185 +
11522 puxador
SEM MOLA</t>
  </si>
  <si>
    <t>9.12</t>
  </si>
  <si>
    <t>Porta de  de correr, em vidro temperado incolor ou fumê 10 mm,  com bandeira ou não, incluindo todos os acessórios necessários a instalação, com  puxadores  verticais  em aço escovado 30cm    -  referência: blindex ou similar.</t>
  </si>
  <si>
    <t>9.13</t>
  </si>
  <si>
    <t>Escada tipo marinheiro em tubo aco galvanizado 1 1/2" até 8 degraus degraus</t>
  </si>
  <si>
    <t>Serralheiro com encargos complementares</t>
  </si>
  <si>
    <t>Argamassa traço 1:4</t>
  </si>
  <si>
    <t>Tubo de aço galvanizado com costura, classe média, DN 1 1/2" E=*3,25 MM NBR 5580</t>
  </si>
  <si>
    <t>9.14</t>
  </si>
  <si>
    <t>Grade de ferro em barra redonda maciça para vãos, fechamento de vãos, áreas, etc.. 3/16"</t>
  </si>
  <si>
    <t>Auxiliar Serralheiro com encargos complementares</t>
  </si>
  <si>
    <t>Argamassa traço 1:3</t>
  </si>
  <si>
    <t>Barra de ferro redonda, maciça qualquer diâmetro</t>
  </si>
  <si>
    <t>Cantoneira de ferro galvanizado de abas iguais 1"</t>
  </si>
  <si>
    <t>Eletroduto revestido aws - E6013- diametro igual a 2,50 mm</t>
  </si>
  <si>
    <t>9.15</t>
  </si>
  <si>
    <t>Vidro cristal liso comum 5mm colocado em caixilho/batente/etc com massa</t>
  </si>
  <si>
    <t>Vidro incolor liso 5mm</t>
  </si>
  <si>
    <t>Fita de papel reforçada com lamina de metal para reforço dos cantos de chapa de gesso para drywall</t>
  </si>
  <si>
    <t>Perfil de borracha EPDM maciço 12x15 mm para esquadrias</t>
  </si>
  <si>
    <t>9.16</t>
  </si>
  <si>
    <t>Instalação de ponto de ancoragem</t>
  </si>
  <si>
    <t>Soldador com encargos complementares</t>
  </si>
  <si>
    <t>Esperas de ancoragem confeccionadas em aço inox 316 ANSI, com capacidade de carga de mínima de 1.500 kgf/unidade</t>
  </si>
  <si>
    <t>16.113.000203.SER</t>
  </si>
  <si>
    <t>Barra roscada em aço inox 18.8 ANSI 304/A2, diâmetro de ½” (barra de 01 metro)</t>
  </si>
  <si>
    <t>05.102.000021.SER</t>
  </si>
  <si>
    <t>Chumbador químico marca Fischer FIS V 360S ou similar</t>
  </si>
  <si>
    <t>tubo</t>
  </si>
  <si>
    <t>INSTALAÇÕES HIDROSSANITÁRIAS</t>
  </si>
  <si>
    <t>10.1</t>
  </si>
  <si>
    <t xml:space="preserve">Vaso sanitário sifonado convencional para PCD sem furo frontal com louça branca sem assento, incluso conjunto de ligação para bacia sanitária ajustável - fornecimento e instalação. </t>
  </si>
  <si>
    <t>Bacia sanitária de louça para deficientes fisicos</t>
  </si>
  <si>
    <t>Conjunto de ligação para bacia sanitária ajustável, em plastico branco, canopla e anael de expansão.</t>
  </si>
  <si>
    <t>10.2</t>
  </si>
  <si>
    <t>Bacia de louça branca com caixa acoplada  - Referência: linha Ravena DECA ou similar linha ECO (botão duplo acionamento) - instalada inclusive acessórios.</t>
  </si>
  <si>
    <t>Engate flexível metálico 40cm</t>
  </si>
  <si>
    <t xml:space="preserve">86942
 </t>
  </si>
  <si>
    <t>10.3</t>
  </si>
  <si>
    <t>Lavatório de louça branca com coluna suspensa - PNE - Referência: linha V. Plus Deca ou similar - completa incluisive válvula de escoamento cromada, engate cromado flexível, parafusos de fixação cromados e torneira de pressão de mesa.</t>
  </si>
  <si>
    <t>Válvula em plástico 1' para pia, tanque ou lavatórioUN1</t>
  </si>
  <si>
    <t>Sifão do tipo garrafa/copo em PVC 1.1/4x1.1/2</t>
  </si>
  <si>
    <t>COMPOSIÇÃO
SUBSTITUIDA</t>
  </si>
  <si>
    <t>Torneira cromada de mesa 1/2"ou 3/4" para lavatório, pia ou tanque</t>
  </si>
  <si>
    <t>10.4</t>
  </si>
  <si>
    <t>Lavatório de louça branca com coluna - Referência: linha Ravena Deca ou similar - instalada incluisive válvula de escoamento cromada, sifão, engate cromado para torneira e parafusos cromados para fixação.</t>
  </si>
  <si>
    <t>Parafuso niquelado p/ fixar peça sanitária</t>
  </si>
  <si>
    <t>Lavatório luça branca coluna</t>
  </si>
  <si>
    <t>Rejunte epóxi</t>
  </si>
  <si>
    <t>10.5</t>
  </si>
  <si>
    <t>ASSENTO SANITÁRIO CONVENCIONAL - fornecimento e instalação. AF_01/2020</t>
  </si>
  <si>
    <t>Assento sanitario de plastico, tipo convencional</t>
  </si>
  <si>
    <t>METAIS</t>
  </si>
  <si>
    <t>10.6</t>
  </si>
  <si>
    <t>Barra de apoio cromada para portadores de necessidades especiais- Referênica: Barra Apoio de 60 cm Reto Cr  JACKWAL ou similar - instalada com parafusos e buchas.</t>
  </si>
  <si>
    <t>Parafuso niquelado 3 1/2" com acabamento cromado para fixar peca sanitaria, inclui porca cega, arruela e bucha de nylon tamanho s-8</t>
  </si>
  <si>
    <t>Barra de apoio reta, em aco inox polido, comprimento 60cm, diametro minimo 3 cm</t>
  </si>
  <si>
    <t>10.7</t>
  </si>
  <si>
    <t>Torneira de pressão metálica para uso geral, longa ou curta, bica móvel, de parede ou bancada - Referência: linha Standard 39 Cromada 1153 - 3/4" DECA ou similar</t>
  </si>
  <si>
    <t>H</t>
  </si>
  <si>
    <t>Fita de vedação para tubos e conexões roscáveis, rolo de 50 m x 18 mm</t>
  </si>
  <si>
    <t>Torneira de pressão de parede para uso geral</t>
  </si>
  <si>
    <t>10.8</t>
  </si>
  <si>
    <t>Torneira de mesa cromada padrão popular para lavatório</t>
  </si>
  <si>
    <t>10.9</t>
  </si>
  <si>
    <t>Registro de gaveta com canopla Ø 25 mm (1") ou Ø 20 mm (1/2")</t>
  </si>
  <si>
    <t>Registro de gaveta com canopla padrão popular Ø 1"</t>
  </si>
  <si>
    <t>10.10</t>
  </si>
  <si>
    <t>Registro de gaveta com canopla Ø 50 mm (1 1/2")</t>
  </si>
  <si>
    <t>10.11</t>
  </si>
  <si>
    <t>Registro de pressão com canopla Ø 25 mm (1")</t>
  </si>
  <si>
    <t>Registro pressao com acabamento e canopla cromada, simples, bitola 3/4 " (ref 1416)</t>
  </si>
  <si>
    <t>10.12</t>
  </si>
  <si>
    <t xml:space="preserve">Base para válvula de descarga metálica Ø 32 mm (1 1/4") ou 40 mm (1 1/2")  - Referência: Docol Salvágua cromado 451106 - botão de duplo acionamento </t>
  </si>
  <si>
    <t>Base para válvula de descarga metálica Ø 32 mm (1 1/4") ou 40 mm (1 1/2")  - Referência: Docol Salvágua cromado 451106 - botão de duplo acionamento , COM ACABAMENTOS</t>
  </si>
  <si>
    <t>10.13</t>
  </si>
  <si>
    <t xml:space="preserve">Registro esférico com canopla Ø 50 mm </t>
  </si>
  <si>
    <t>Registro de esfera, pvc, com volante, vs, soldavel, dn 50 mm, com corpo dividido</t>
  </si>
  <si>
    <t>Adesivo plastico para pvc, frasco com 175 gr</t>
  </si>
  <si>
    <t>Solucao limpadora para pvc, frasco com 1000 cm3</t>
  </si>
  <si>
    <t>Lixa d'agua em folha, grao 100</t>
  </si>
  <si>
    <t>10.14</t>
  </si>
  <si>
    <t>Acabamento cromado para válvula de descarga tipo barra para acionamento - referência: Acabamento Válv. Desc. 1.1/2" Benefit Cr 184906 - Docol ou similar (pne)</t>
  </si>
  <si>
    <t>Acabamento cromado para válvula de descarga tipo barra para acionamento - referência: Acabamento Válv. Desc. 1.1/2" Benefit Cr 184906 - Docol ou similar, instalado</t>
  </si>
  <si>
    <t>10.15</t>
  </si>
  <si>
    <t>Tubo de PVC soldável, com conexões Ø 25 mm</t>
  </si>
  <si>
    <t>Tubo, pvc, soldável, dn 25mm, instalado em ramal ou sub-ramal de água - fornecimento e instalação. af_12/2014</t>
  </si>
  <si>
    <t>Joelho 90 graus, pvc, soldável, dn 25mm, instalado em ramal ou sub-ramal de água - fornecimento e instalação. af_12/2014</t>
  </si>
  <si>
    <t>Joelho 90 graus com bucha de latão, pvc, soldável, dn 25mm, x 3/4 instalado em ramal ou sub-ramal de água - fornecimento e instalação. af_12/2014</t>
  </si>
  <si>
    <t>Luva, pvc, soldável, dn 25mm, instalado em ramal ou sub-ramal de água - fornecimento e instalação. af_12/2014</t>
  </si>
  <si>
    <t>Adaptador curto com bolsa e rosca para registro, pvc, soldável, dn 25mm x 3/4, instalado em ramal ou sub-ramal de água - fornecimento e instalação. af_12/2014</t>
  </si>
  <si>
    <t>Te, pvc, soldável, dn 25mm, instalado em ramal ou sub-ramal de água - fornecimento e instalação. af_12/2014</t>
  </si>
  <si>
    <t>Tê com bucha de latão na bolsa central, pvc, soldável, dn 25mm x 1/2, instalado em ramal ou sub-ramal de água - fornecimento e instalação. af_12/2014</t>
  </si>
  <si>
    <t>Tê de redução, pvc, soldável, dn 32mm x 25mm, instalado em ramal ou sub-ramal de água - fornecimento e instalação. af_12/2014</t>
  </si>
  <si>
    <t>Tubo, pvc, soldável, dn 25mm, instalado em ramal de distribuição de água - fornecimento e instalação. af_12/2014</t>
  </si>
  <si>
    <t>Joelho 90 graus, pvc, soldável, dn 25mm, instalado em ramal de distribuição de água - fornecimento e instalação. af_12/2014</t>
  </si>
  <si>
    <t>Luva, pvc, soldável, dn 25mm, instalado em ramal de distribuição de água - fornecimento e instalação. af_12/2014</t>
  </si>
  <si>
    <t>Te, pvc, soldável, dn 25mm, instalado em ramal de distribuição de água - fornecimento e instalação. af_12/2014</t>
  </si>
  <si>
    <t>Tê de redução, pvc, soldável, dn 32mm x 25mm, instalado em ramal de distribuição de água - fornecimento e instalação. af_12/2014</t>
  </si>
  <si>
    <t>Tubo, pvc, soldável, dn 25mm, instalado em prumada de água - fornecimento e instalação. af_12/2014</t>
  </si>
  <si>
    <t>Joelho 90 graus, pvc, soldável, dn 25mm, instalado em prumada de água - fornecimento e instalação. af_12/2014</t>
  </si>
  <si>
    <t>Luva, pvc, soldável, dn 25mm, instalado em prumada de água - fornecimento e instalação. af_12/2014</t>
  </si>
  <si>
    <t>Luva de redução, pvc, soldável, dn 32mm x 25mm, instalado em prumada de água - fornecimento e instalação. af_12/2014</t>
  </si>
  <si>
    <t>Tê de redução, pvc, soldável, dn 32mm x 25mm, instalado em prumada de água - fornecimento e instalação. af_12/2014</t>
  </si>
  <si>
    <t>Tê de redução, pvc, soldável, dn 50mm x 25mm, instalado em prumada de água - fornecimento e instalação. af_12/2014</t>
  </si>
  <si>
    <t>Furo em alvenaria para diâmetros menores ou iguais a 40 mm. af_05/2015</t>
  </si>
  <si>
    <t>Rasgo em alvenaria para ramais/ distribuição com diametros menores ou iguais a 40 mm. af_05/2015</t>
  </si>
  <si>
    <t>Passante tipo tubo de diâmetro menor ou igual a 40 mm, fixado em laje. af_05/2015</t>
  </si>
  <si>
    <t>Chumbamento linear em alvenaria para ramais/distribuição com diâmetros menores ou iguais a 40 mm. af_05/2015</t>
  </si>
  <si>
    <t>Fixação de tubos horizontais de pvc, cpvc ou cobre diâmetros menores ou iguais a 40 mm com abraçadeira metálica flexível 18 mm, fixada diretamente na laje. af_05/2015</t>
  </si>
  <si>
    <t>Chumbamento pontual em passagem de tubo com diâmetro menor ou igual a 40 mm. af_05/2015</t>
  </si>
  <si>
    <t>10.16</t>
  </si>
  <si>
    <t>Tubo de PVC soldável, com conexões Ø 50 mm</t>
  </si>
  <si>
    <t>Tubo, pvc, soldável, dn 50mm, instalado em prumada de água - fornecimento e instalação. af_12/2014</t>
  </si>
  <si>
    <t>Joelho 90 graus, pvc, soldável, dn 50mm, instalado em prumada de água - fornecimento e instalação. af_12/2014</t>
  </si>
  <si>
    <t>Joelho 45 graus, pvc, soldável, dn 50mm, instalado em prumada de água - fornecimento e instalação. af_12/2014</t>
  </si>
  <si>
    <t>Luva, pvc, soldável, dn 50mm, instalado em prumada de água - fornecimento e instalação. af_12/2014</t>
  </si>
  <si>
    <t>União, pvc, soldável, dn 50mm, instalado em prumada de água - fornecimento e instalação. af_12/2014</t>
  </si>
  <si>
    <t>Adaptador curto com bolsa e rosca para registro, pvc, soldável, dn 50mm x 1.1/2, instalado em prumada de água - fornecimento e instalação. af_12/2014</t>
  </si>
  <si>
    <t>Te, pvc, soldável, dn 50mm, instalado em prumada de água - fornecimento e instalação. af_12/2014</t>
  </si>
  <si>
    <t>Furo em alvenaria para diâmetros maiores que 40 mm e menores ou iguais a 75 mm. af_05/2015</t>
  </si>
  <si>
    <t>Passante tipo tubo de diâmetro maiores que 40 mm e menores ou iguais a 75 mm, fixado em laje. af_05/2015</t>
  </si>
  <si>
    <t>Fixação de tubos horizontais de pvc, cpvc ou cobre diâmetros maiores que 40 mm e menores ou iguais a 75 mm com abraçadeira metálica flexível 18 mm, fixada diretamente na laje. af_05/2015</t>
  </si>
  <si>
    <t>Chumbamento pontual em passagem de tubo com diâmetros entre 40 mm e 75 mm. af_05/2015</t>
  </si>
  <si>
    <t>10.17</t>
  </si>
  <si>
    <t>Reservatório d'água de fibra de vidro cilíndrico, capacidade 1000 litros</t>
  </si>
  <si>
    <t>Reservatório de água cilíndrico de fibra de vidro p/ 1000 litros</t>
  </si>
  <si>
    <t>Kit de registro de gaveta bruto de latão ¾", inclusive conexões, roscável, instalado em ramal de água fria - fornecimento e instalação. af_12/2014</t>
  </si>
  <si>
    <t>Tubo, pvc, soldável, dn  25 mm, instalado em reservação de água de edificação que possua reservatório de fibra/fibrocimento   fornecimento e instalação. af_06/2016</t>
  </si>
  <si>
    <t>Tê, pvc, soldável, dn  25 mm instalado em reservação de água de edificação que possua reservatório de fibra/fibrocimento   fornecimento e instalação. af_06/2016</t>
  </si>
  <si>
    <t>Adaptador com flange e anel de vedação, pvc, soldável, dn  25 mm x 3/4 , instalado em reservação de água de edificação que possua reservatório de fibra/fibrocimento   fornecimento e instalação. af_06/2016</t>
  </si>
  <si>
    <t>Torneira de boia, roscável, 3/4 , fornecida e instalada em reservação de água. af_06/2016</t>
  </si>
  <si>
    <t>10.18</t>
  </si>
  <si>
    <t>União de PVC para água fria de DN  25mm a 32 mm</t>
  </si>
  <si>
    <t>Auxiliar de encanador ou bombeiro hidráulico com encargos complementares</t>
  </si>
  <si>
    <t>Encanador  com encargos complementares</t>
  </si>
  <si>
    <t>Adesivo para PVC frasco 850g</t>
  </si>
  <si>
    <t>União de pvc soldável para água fria 25mm a 32mm</t>
  </si>
  <si>
    <t>Solução limpadora para pvc frasco com 1000cm³</t>
  </si>
  <si>
    <t>Lixa d'água em folha, grão 100</t>
  </si>
  <si>
    <t>10.19</t>
  </si>
  <si>
    <t>União de PVC para água fria de DN  40 mm a 50 mm</t>
  </si>
  <si>
    <t>União de pvc soldável para água fria 40mm a 50mm</t>
  </si>
  <si>
    <t>10.20</t>
  </si>
  <si>
    <t>Torneira bóia com haste de alumínio para entrada  de   Ø 20mm (1/2) a  Ø 32 mm (1 1/4")</t>
  </si>
  <si>
    <t>Torneira de latão com bóia plastica para caixa d'água Ø 1"</t>
  </si>
  <si>
    <t>10.21</t>
  </si>
  <si>
    <t>Engate flexível malha de aço de 30 a 50 centímetros</t>
  </si>
  <si>
    <t>10.22</t>
  </si>
  <si>
    <t>Sifão corrugado simples ou duplo</t>
  </si>
  <si>
    <t>10.23</t>
  </si>
  <si>
    <t>Válvula para pias, lavatórios ou tanques</t>
  </si>
  <si>
    <t>Válvula para pias, lavatórios ou tanques, CROMADA</t>
  </si>
  <si>
    <t>10.24</t>
  </si>
  <si>
    <t>Ralo sifonado ou seco DN 100 mm a DN 200mm</t>
  </si>
  <si>
    <t>Adeviso plástico para PVC frasco 850g</t>
  </si>
  <si>
    <t>Solução limpadora para PVC frasco 1000cm³</t>
  </si>
  <si>
    <t>Lixa d'água em folha grtano 100</t>
  </si>
  <si>
    <t>10.25</t>
  </si>
  <si>
    <t>Torneira  cromada LONGA PARA TANQUE</t>
  </si>
  <si>
    <t>PINTURAS</t>
  </si>
  <si>
    <t>11.1</t>
  </si>
  <si>
    <t>Emassamento TETOS com massa acrílica com duas demãos, para pintura látex - inclusive lixamentos - Referência: Suvinil ou similar.</t>
  </si>
  <si>
    <t>Pintor com encargos complementares</t>
  </si>
  <si>
    <t>Massa corrida pva para paredes internas</t>
  </si>
  <si>
    <t>gl</t>
  </si>
  <si>
    <t>Lixa em folha 120 para superfície madeira/massa</t>
  </si>
  <si>
    <t>11.2</t>
  </si>
  <si>
    <t>Emassamento de PAREDES com massa corrida à base de PVA com duas demãos, para pintura látex - inclusive lixamentos - Referência: Suvinil ou similar.</t>
  </si>
  <si>
    <t>11.3</t>
  </si>
  <si>
    <t>Lixamento de madeira e preparo para aplicação de pintura</t>
  </si>
  <si>
    <t>11.4</t>
  </si>
  <si>
    <t xml:space="preserve">Lixamento manual de superfícies metálicas </t>
  </si>
  <si>
    <t>PINTURAS EM PAREDES E FORROS</t>
  </si>
  <si>
    <t>11.5</t>
  </si>
  <si>
    <t>Pintura com tinta látex acrílica em  tetos, com duas demãos, sem massa corrida - inclusive preparo e limpeza da superfície - Referência: Suvinil ou similar.</t>
  </si>
  <si>
    <t>Tinta acrilica premium</t>
  </si>
  <si>
    <t>11.6</t>
  </si>
  <si>
    <t>Pintura com tinta látex acrílica SUPER LAVÁVEL em paredes e teto externos, com três demãos, sem massa corrida - - inclusive preapro e limpeza da superfície - Referência: Suvinil ou similar.</t>
  </si>
  <si>
    <t>11.7</t>
  </si>
  <si>
    <t>Pintura com tinta látex PVA em paredes, com duas demãos, sem massa corrida - inclusive preparo e limpeza da supefície - Referência: Suvinil ou similar.</t>
  </si>
  <si>
    <t>Tinta latex PVA premium</t>
  </si>
  <si>
    <t>11.8</t>
  </si>
  <si>
    <t>Textura acrílica em cor - aplicada em parede externa com uma demão</t>
  </si>
  <si>
    <t>Massa para textura lisa de base acrilica, uso externo</t>
  </si>
  <si>
    <t>11.9</t>
  </si>
  <si>
    <t>Pintura com tinta esmalte sintético ou acetinado em forro,  esquadria de madeira ou ferro,  com duas demãos, sem massa corrida - inclusive preparo e lixamento da superfície em cor  a ser definida - Referência: Suvinil ou similar.</t>
  </si>
  <si>
    <t>Solvente diluente a base de aguarras</t>
  </si>
  <si>
    <t>Tinta esmalte sintético premium acetinado</t>
  </si>
  <si>
    <t>11.10</t>
  </si>
  <si>
    <t>Pintura com  verniz  com duas  demãos -  Referênica: Suvinil ou similar.</t>
  </si>
  <si>
    <t>Verniz Sintético brilhante para madeira, com filtro solar</t>
  </si>
  <si>
    <t>11.11</t>
  </si>
  <si>
    <t>Pintura com tinta acrílica em piso de concreto, duas demãos, aplicada com rolo de lã - inclusive preparo e limpeza da superfície - Referência: Suvinil ou similar.</t>
  </si>
  <si>
    <t>11.12</t>
  </si>
  <si>
    <t>PINTURA COM TINTA EPÓXI DE ALTA PERFORMANCE,  para faixas de demarcação, com faixas de 8 cm de largura, aplicada com trincha ou rolo, incluindo limpeza e preparação da área para aplicação.</t>
  </si>
  <si>
    <t>Tinta epoxi premium</t>
  </si>
  <si>
    <t>AR CONDICIONADO E EXAUSTÃO</t>
  </si>
  <si>
    <t>adaptada TCPO 
17010.8.1.13</t>
  </si>
  <si>
    <t>12.01</t>
  </si>
  <si>
    <t>DIVERSOS sobre materiais para colocação de condicionador de ar tipo Split "Underceiling", 12.000 Btu/h</t>
  </si>
  <si>
    <t>nd</t>
  </si>
  <si>
    <t>Encanador ou bombeiro hidráulico com encargos complementares</t>
  </si>
  <si>
    <t>Montador (tubo aço/equipamentos) com encargos complementares</t>
  </si>
  <si>
    <t>Tubo de cobre flexivel, d = 3/8 ", e = 0,79 mm, para ar-condicionado/ instalacoes gas residenciais e comerciais</t>
  </si>
  <si>
    <t>Tubo de cobre flexivel, d = 5/8 ", e = 0,79 mm, para ar-condicionado/ instalacoes gas residenciais e comerciais</t>
  </si>
  <si>
    <t>Pasta para solda de tubos e conexoes de cobre (embalagem com 250 g)</t>
  </si>
  <si>
    <t xml:space="preserve">Tbo para isolamente térmico de tubulações </t>
  </si>
  <si>
    <t>Cabo flexivel pvc 750 v, 4 condutores de 1,5 mm2</t>
  </si>
  <si>
    <t>Estanho para solda 50x50</t>
  </si>
  <si>
    <t>12.02</t>
  </si>
  <si>
    <t>CONDICIONADOR de ar tipo Split, quente/frio, SISTEMA INVERTER - instalação da rede frigorígena completa, inclusive carga de gás e drenagem (tubo d epvc). - distância de 16m a 28m</t>
  </si>
  <si>
    <t>TCPO 17010.8.1.10</t>
  </si>
  <si>
    <t>12.03</t>
  </si>
  <si>
    <t>Fornecimento e instalação de bomba de drenagem de condensado, referência Maxi Orange Grande (37l)</t>
  </si>
  <si>
    <t>Eletricista com encargos complementares</t>
  </si>
  <si>
    <t>Bomba de dreno maxi, para condicionadores de ar</t>
  </si>
  <si>
    <t>12.04</t>
  </si>
  <si>
    <t>Remoção de unidade interna/externa de ar-condicionado tipo split e  aparelhos  condicionares de ar modelo janela, de capacidades e modelos diversos</t>
  </si>
  <si>
    <t>ser/mo</t>
  </si>
  <si>
    <t>Auxiliar de eletricista com encargos complementares</t>
  </si>
  <si>
    <t>12.05</t>
  </si>
  <si>
    <t>Instalação de equipamento de exaustão  - Ventokit 150 ou similar  - em parede de alvenaria ou laje - inclusive o furo necessário à instalação.</t>
  </si>
  <si>
    <t>Equipamento de exaustão  - Ventokit 150 com sensor de presença ou similar  - em parede de alvenaria ou laje - inclusive o furo necessário à instalação.</t>
  </si>
  <si>
    <t>SERVIÇOS COMPLEMENTARES E MÃO DE OBRA - CIVIL</t>
  </si>
  <si>
    <t>13.01</t>
  </si>
  <si>
    <t>Andaime metálico de encaixe para trabalho em fachada de edifícios - locação</t>
  </si>
  <si>
    <t>Transporte horizontal manual, de tubo de aço carbono leve ou médio,</t>
  </si>
  <si>
    <t>m x km</t>
  </si>
  <si>
    <t>Locacao de andaime metalico tipo fachadeiro, largura de 1,20 m, altura por  peca de 2,0 m, incluindo sapatas e itens necessarios a instalacao</t>
  </si>
  <si>
    <t>m²/mes</t>
  </si>
  <si>
    <t>13.02</t>
  </si>
  <si>
    <t>Proteção de pisos existentes com utilização de lona plástica, papelão corrugado e fita crepe.</t>
  </si>
  <si>
    <t>13.03</t>
  </si>
  <si>
    <t>Lavagem de fachada com máquina de pressão com utilização de hipoclorito de sódio</t>
  </si>
  <si>
    <t>Lavadora de alta pressao (lava-jato) para agua fria, pressao de operacao entre 1400 e 1900 lib/pol2, vazao maxima entre 400 e 700 l/h - chp diurno</t>
  </si>
  <si>
    <t>VALORES TOTAIS  SEM BDI</t>
  </si>
  <si>
    <t>VALORES TOTAIS  COM BDI</t>
  </si>
  <si>
    <t>PRODUTO</t>
  </si>
  <si>
    <t>Fornecedor 1</t>
  </si>
  <si>
    <t>Valor</t>
  </si>
  <si>
    <t>Fornecedor 2</t>
  </si>
  <si>
    <t>Fornecedor 3</t>
  </si>
  <si>
    <t>Média</t>
  </si>
  <si>
    <t xml:space="preserve">Mediana </t>
  </si>
  <si>
    <t>Acabamento Valvula PNE</t>
  </si>
  <si>
    <t>MADEIRA MADEIRA</t>
  </si>
  <si>
    <t>Estrela 1 0</t>
  </si>
  <si>
    <t>Certiva</t>
  </si>
  <si>
    <t xml:space="preserve">Bomba de Dreno Maxi Orange </t>
  </si>
  <si>
    <t>Eletrofrigor</t>
  </si>
  <si>
    <t>Frigelar</t>
  </si>
  <si>
    <t>shoptime-dufrio</t>
  </si>
  <si>
    <t>Fita antiderrapante 50 mm - 5 m</t>
  </si>
  <si>
    <t>Magazine Luiza</t>
  </si>
  <si>
    <t>Eletrorastro</t>
  </si>
  <si>
    <t>Americanas</t>
  </si>
  <si>
    <t>Ventokit 150 com sensor de presença</t>
  </si>
  <si>
    <t>Americanas - katavento</t>
  </si>
  <si>
    <t>Setta</t>
  </si>
  <si>
    <t>LPF Distribuidora</t>
  </si>
  <si>
    <t>Caçambas entulhos (incluindo tx PMC 50,00 + estar 60) para 3 dias</t>
  </si>
  <si>
    <t>Transdetritos
41-99623-6210
Cristian</t>
  </si>
  <si>
    <t>Renovar
41-99511-9070
Marllon</t>
  </si>
  <si>
    <t>Forte caçambas
41-99778-0202
Janaína</t>
  </si>
  <si>
    <t>Caçambas Gesso (incluindo tx PMC 50,00 + estar 60) para 3 dias</t>
  </si>
  <si>
    <t>Kit  para  automação de portões (basculante, deslizante)</t>
  </si>
  <si>
    <t>Uper seg</t>
  </si>
  <si>
    <t>Tudo Forte</t>
  </si>
  <si>
    <t>Kit de corrente para  automatização  de portão PIVOTANTE (UMA FOLHA)</t>
  </si>
  <si>
    <t>Central portões</t>
  </si>
  <si>
    <t>Kit  de   automação para portão basculante simples ou dobrável (com joelho)</t>
  </si>
  <si>
    <t>Net alarmes</t>
  </si>
  <si>
    <t>Americanas
segluz</t>
  </si>
  <si>
    <t>Casa da Ancoragem</t>
  </si>
  <si>
    <t>Climb Clean</t>
  </si>
  <si>
    <t>Safetec</t>
  </si>
  <si>
    <t>Cálculo do BDI</t>
  </si>
  <si>
    <t>Risco/seguros</t>
  </si>
  <si>
    <t xml:space="preserve">Administração central </t>
  </si>
  <si>
    <t>Despesas financeiras</t>
  </si>
  <si>
    <t>Lucro</t>
  </si>
  <si>
    <t>TRIBUTOS</t>
  </si>
  <si>
    <t xml:space="preserve">COFINS </t>
  </si>
  <si>
    <t>Previdência</t>
  </si>
  <si>
    <t>PIS</t>
  </si>
  <si>
    <t>ISS</t>
  </si>
  <si>
    <t>X =  somatória de Risco/Seguros e da Administração Central</t>
  </si>
  <si>
    <t>Y = Despesas Financeiras</t>
  </si>
  <si>
    <t>Z = Lucro</t>
  </si>
  <si>
    <t xml:space="preserve">I  = somatória dos tributos </t>
  </si>
  <si>
    <t>BDI = ((1 + X) (1 + Y) (1 + Z) / (1 - I)) - 1</t>
  </si>
  <si>
    <t>MATERIAL</t>
  </si>
  <si>
    <t>MÃO DE OBRA</t>
  </si>
  <si>
    <t>3,0% SOBRE O VALOR DA MÃO DE OBRA</t>
  </si>
  <si>
    <t>Item</t>
  </si>
  <si>
    <t>Descrição</t>
  </si>
  <si>
    <t>Unidade</t>
  </si>
  <si>
    <t>Mediana</t>
  </si>
  <si>
    <t>Empresa</t>
  </si>
  <si>
    <t>Preço</t>
  </si>
  <si>
    <t>Canaleta Sistema X 110x20mm</t>
  </si>
  <si>
    <t>Barra 2,1 m</t>
  </si>
  <si>
    <t>Obramax</t>
  </si>
  <si>
    <t>Loja Elétrica</t>
  </si>
  <si>
    <t>Eletrotrafo</t>
  </si>
  <si>
    <t>Canaleta de piso DP3 50x20 mm</t>
  </si>
  <si>
    <t>Barra 2,0 m</t>
  </si>
  <si>
    <t>Anhanguera</t>
  </si>
  <si>
    <t>Elétrica Valdoni</t>
  </si>
  <si>
    <t>Grupo Infoall</t>
  </si>
  <si>
    <t>Base para relé fotoelétrico</t>
  </si>
  <si>
    <t>Eletropeças</t>
  </si>
  <si>
    <t>Elétrica Brasil</t>
  </si>
  <si>
    <t>Placa 4x2” cega ou recortada para instalação de tomadas e interruptores com suporte</t>
  </si>
  <si>
    <t>Supercol</t>
  </si>
  <si>
    <t>Portal Elétrico</t>
  </si>
  <si>
    <t>Placa 4x4” cega ou recortada para instalação de tomadas e interruptores com suporte</t>
  </si>
  <si>
    <t>Módulo tomada 2P+T 10 A branco</t>
  </si>
  <si>
    <t>Módulo tomada 2P+T 20 A branco</t>
  </si>
  <si>
    <t>Módulo tomada 2P+T 10 A vermelho</t>
  </si>
  <si>
    <t>Módulo tomada 2P+T 20 A vermelho</t>
  </si>
  <si>
    <t>Laydner</t>
  </si>
  <si>
    <t>Módulo interruptor paralelo</t>
  </si>
  <si>
    <t>Ferreira Costa</t>
  </si>
  <si>
    <t>Módulo Interruptor simples</t>
  </si>
  <si>
    <t>Módulo cego ou perfurado para saída de cabo</t>
  </si>
  <si>
    <t>Plug 2P+T macho 10 A</t>
  </si>
  <si>
    <t>Copafer</t>
  </si>
  <si>
    <t>Plug 2P+T macho 20 A</t>
  </si>
  <si>
    <t>Plug 2P+T fêmea 10 A</t>
  </si>
  <si>
    <t>Plug 2P+T fêmea 20 A</t>
  </si>
  <si>
    <t>Cabo 2x0,75 mm²</t>
  </si>
  <si>
    <t>Leroy Merlin</t>
  </si>
  <si>
    <t>JC Cabos</t>
  </si>
  <si>
    <t>Elbran</t>
  </si>
  <si>
    <t>Caixa padrão Copel CN1</t>
  </si>
  <si>
    <t>Eletroluz</t>
  </si>
  <si>
    <t>Caixa padrão Copel GNE</t>
  </si>
  <si>
    <t>LP Ensaio</t>
  </si>
  <si>
    <t>Abage</t>
  </si>
  <si>
    <t>Kit barramento trifásico 225A / 56 D</t>
  </si>
  <si>
    <t>Eletromac</t>
  </si>
  <si>
    <t>Chave comutadora tripolar 3 posições 100A</t>
  </si>
  <si>
    <t>Jumes</t>
  </si>
  <si>
    <t>Oferta Elétrica</t>
  </si>
  <si>
    <t>DJ Elétrica</t>
  </si>
  <si>
    <t>Contator CWC07</t>
  </si>
  <si>
    <t>Viewtech</t>
  </si>
  <si>
    <t>H3L</t>
  </si>
  <si>
    <t>Relé de falta de fase trifásico 220 V</t>
  </si>
  <si>
    <t>Relé cíclico 30 min, 220 V</t>
  </si>
  <si>
    <t>Bortoloto Eletro</t>
  </si>
  <si>
    <t>Mundo Elétrico</t>
  </si>
  <si>
    <t>Temporizador trilho DIN 10 programações</t>
  </si>
  <si>
    <t>Salfatis</t>
  </si>
  <si>
    <t>Painel LED embutir 12W</t>
  </si>
  <si>
    <t>Boreal Led</t>
  </si>
  <si>
    <t>Embralumi</t>
  </si>
  <si>
    <t>Painel LED embutir 24W</t>
  </si>
  <si>
    <t>Iluminim</t>
  </si>
  <si>
    <t>Eurolume</t>
  </si>
  <si>
    <t>Painel LED sobrepor 12W</t>
  </si>
  <si>
    <t>Painel LED sobrepor 24 W</t>
  </si>
  <si>
    <t>Telhanorte</t>
  </si>
  <si>
    <t>Aurora Boreal</t>
  </si>
  <si>
    <t>Refletor LED 100 W</t>
  </si>
  <si>
    <t>RCA</t>
  </si>
  <si>
    <t>Arcoiris Led</t>
  </si>
  <si>
    <t>Coluna técnica 3m (Dutotec)</t>
  </si>
  <si>
    <t>Policom</t>
  </si>
  <si>
    <t>Eletrobit</t>
  </si>
  <si>
    <t>Klint</t>
  </si>
  <si>
    <t>Luva de arremate coluna técnica (Dutotec)</t>
  </si>
  <si>
    <t>Totem técnico 50 cm (Dutotec)</t>
  </si>
  <si>
    <t>Luva de arremate totem técnico (Dutotec)</t>
  </si>
  <si>
    <t>Chapa de fixação totem técnico (Dutotec)</t>
  </si>
  <si>
    <t>Guia de caixa (Dutotec)</t>
  </si>
  <si>
    <t>Porta-equipamentos (Dutotec)</t>
  </si>
  <si>
    <t>Módulo tomada 20A branco (Dutotec)</t>
  </si>
  <si>
    <t>Módulo tomada 20A vermelho (Dutotec)</t>
  </si>
  <si>
    <t>Módulo cego (Dutotec)</t>
  </si>
  <si>
    <t>Módulo keystone RJ45 (Dutotec)</t>
  </si>
  <si>
    <t>Caixa de piso completa (Dutotec)</t>
  </si>
  <si>
    <t>Luminária sobrepor 2x16 W (60cm)</t>
  </si>
  <si>
    <t>Benluz</t>
  </si>
  <si>
    <t>Claron</t>
  </si>
  <si>
    <t>Luminária sobrepor 4x16 W (60cm)</t>
  </si>
  <si>
    <t>Luxtil</t>
  </si>
  <si>
    <t>Produtel</t>
  </si>
  <si>
    <t>Luminária sobrepor 2x32 W (120cm)</t>
  </si>
  <si>
    <t>Blight</t>
  </si>
  <si>
    <t>Organizador de cabos 19” 1U</t>
  </si>
  <si>
    <t>Upper Seg</t>
  </si>
  <si>
    <t>B2C</t>
  </si>
  <si>
    <t>HR2 Tech</t>
  </si>
  <si>
    <t>Régua de 12 tomadas 1U</t>
  </si>
  <si>
    <t>Protec Seg</t>
  </si>
  <si>
    <t>Santil</t>
  </si>
  <si>
    <t>AZ Net Telecom</t>
  </si>
  <si>
    <t>Rack fechado 40-42U 19” 800mm</t>
  </si>
  <si>
    <t>RC19</t>
  </si>
  <si>
    <t>Rack Nordeste</t>
  </si>
  <si>
    <t>WBX Racks</t>
  </si>
  <si>
    <t>Bandeja fixação dupla 1U 19”</t>
  </si>
  <si>
    <t>Rackfort</t>
  </si>
  <si>
    <t>Unicaserv</t>
  </si>
  <si>
    <t>IT Com Tech</t>
  </si>
  <si>
    <t>MATERIAL ELÉTRICO</t>
  </si>
  <si>
    <t>Infra estrutura</t>
  </si>
  <si>
    <t>14.1</t>
  </si>
  <si>
    <t>Eletroduto de PVC  Ø 3/4", roscável, anti-chama, nbr-6150, fab. tigre ou similar, inclusive conexões. Incluso: Abraçadeiras, Tirantes, Parafusos, cantoneira, Gancho p/ suspensão, luva, arremate, curvas. Ø 3/4" .</t>
  </si>
  <si>
    <t>Eletroduto PVC rígido roscável Ø 3/4"</t>
  </si>
  <si>
    <t>Fixação de tubos horizontais até Ø40 mm</t>
  </si>
  <si>
    <t>14.2</t>
  </si>
  <si>
    <t>Eletroduto de PVC  Ø 1", roscável, anti-chama, NBR-6150, fab. tigre ou similar, inclusive conexões. Incluso: Abraçadeiras, Tirantes, Parafusos, cantoneira, Gancho p/ suspensão, luva, arremate, curvas. Ø 1" .</t>
  </si>
  <si>
    <t>Eletroduto PVC rígido roscável Ø 1"</t>
  </si>
  <si>
    <t>14.3</t>
  </si>
  <si>
    <t xml:space="preserve">Eletroduto de PVC Ø 1.1/4", roscável, anti-chama, NBR-6150, fab. tigre ou similar, inclusive conexões. Incluso: Abraçadeiras, Tirantes, Parafusos, cantoneira, Gancho p/ suspensão, luva, arremate, curvas. Ø 1.1/4"    </t>
  </si>
  <si>
    <t>Eletroduto PVC rígido roscável Ø 1.1/4"</t>
  </si>
  <si>
    <t>14.4</t>
  </si>
  <si>
    <t xml:space="preserve">Eletroduto de PVC  Ø 1 1/2", roscável, anti-chama, NBR-6150, fab. tigre ou similar, inclusive conexões. Incluso: Abraçadeiras, Tirantes, Parafusos, cantoneira, Gancho p/ suspensão, luva, arremate, curvas. Ø 1.1/2"                            </t>
  </si>
  <si>
    <t>Eletroduto PVC rígido roscável Ø 1 1/2"</t>
  </si>
  <si>
    <t>Fixação de tubos horizontais até Ø75 mm</t>
  </si>
  <si>
    <t>14.5</t>
  </si>
  <si>
    <t xml:space="preserve">Eletroduto de PVC Ø 2", roscável, anti-chama, NBR-6150, fab. tigre ou similar, inclusive conexões. Incluso: Abraçadeiras, Tirantes, Parafusos, cantoneira, Gancho p/ suspensão, luva, arremate, curvas.Ø 2"                            </t>
  </si>
  <si>
    <t>Eletroduto PVC rígido roscável Ø 2"</t>
  </si>
  <si>
    <t>14.6</t>
  </si>
  <si>
    <t>Eletroduto AÇO GALVANIZADO Ø 3/4". de aço carbono com costura galvanizado a fogo, inclusive conexões. Incluso: Abraçadeiras, Tirantes, Parafusos, cantoneira, Gancho p/ suspensão, luva, arremate, curvas.</t>
  </si>
  <si>
    <t>16.111.000301</t>
  </si>
  <si>
    <t>Eletroduto de aço com costura galvanização a fogo Ø ¾"</t>
  </si>
  <si>
    <t>14.7</t>
  </si>
  <si>
    <t>Eletroduto AÇO GALVANIZADO Ø 1". de aço carbono com costura galvanizado a fogo, inclusive conexões. Incluso: Abraçadeiras, Tirantes, Parafusos, cantoneira, Gancho p/ suspensão, luva, arremate, curvas.</t>
  </si>
  <si>
    <t>16.111.000302</t>
  </si>
  <si>
    <t>Eletroduto de aço com costura galvanização a fogo Ø 1"</t>
  </si>
  <si>
    <t>14.8</t>
  </si>
  <si>
    <t>Eletroduto AÇO GALVANIZADO Ø 1 1/4". de aço carbono com costura galvanizado a fogo, inclusive conexões. Incluso: Abraçadeiras, Tirantes, Parafusos, cantoneira, Gancho p/ suspensão, luva, arremate, curvas.</t>
  </si>
  <si>
    <t>16.111.000303</t>
  </si>
  <si>
    <t>Eletroduto de aço com costura galvanização a fogo Ø 1 1/4"</t>
  </si>
  <si>
    <t>14.9</t>
  </si>
  <si>
    <t>Eletroduto AÇO GALVANIZADOØ 1 1/2". de aço carbono com costura galvanizado a fogo, inclusive conexões. Incluso: Abraçadeiras, Tirantes, Parafusos, cantoneira, Gancho p/ suspensão, luva, arremate, curvas.</t>
  </si>
  <si>
    <t>16.111.000304</t>
  </si>
  <si>
    <t>Eletroduto de aço com costura galvanizado a fogo Ø 1 1/2"</t>
  </si>
  <si>
    <t>14.10</t>
  </si>
  <si>
    <t xml:space="preserve">Eletroduto AÇO GALVANIZADO Ø 2". de aço carbono com costura galvanizado a fogo, inclusive conexões. Incluso: Abraçadeiras, Tirantes, Parafusos, cantoneira, Gancho p/ suspensão, luva, arremate, curvas.    </t>
  </si>
  <si>
    <t>16.111.000305</t>
  </si>
  <si>
    <t>Eletroduto de aço com costura galvanizado a fogo Ø 2"</t>
  </si>
  <si>
    <t>14.11</t>
  </si>
  <si>
    <t>Eletroduto de PVC flexível CORRUGADO Ø 25 mm 3/4"</t>
  </si>
  <si>
    <t>Eletroduto PVC flexível corrugado Ø 25 mm 3/4"</t>
  </si>
  <si>
    <t>14.12</t>
  </si>
  <si>
    <t>Eletroduto de PVC flexível CORRUGADO Ø 32 mm 1"</t>
  </si>
  <si>
    <t>Eletroduto PVC flexível corrugado Ø 32 mm</t>
  </si>
  <si>
    <t>14.13</t>
  </si>
  <si>
    <t>Condulete em liga de alumínio fundido,  Ø 3/4". Aparente, incluso espelho, Conexões: (B,C,E,LB,LL,LR,T,TB,X)</t>
  </si>
  <si>
    <t>Bucha de nylon sem aba S6, com parafuso de 4,20 x 40 mm em aço zincado com rosca soberba, cabeca chata e fenda phillips</t>
  </si>
  <si>
    <t>Condulete de alumínio roscável tipo "B" Ø 3/4"</t>
  </si>
  <si>
    <t>14.14</t>
  </si>
  <si>
    <t>Condulete em liga de alumínio fundido,  Ø1". Aparente, incluso espelho, Conexões: (B,C,E,LB,LL,LR,T,TB,X)</t>
  </si>
  <si>
    <t>Condulete de alumínio roscável tipo "C" Ø 1"</t>
  </si>
  <si>
    <t>14.15</t>
  </si>
  <si>
    <t>Condulete em liga de alumínio fundido,  Ø1 1/4". Aparente, incluso espelho, Conexões: (B,C,E,LB,LL,LR,T,TB,X)</t>
  </si>
  <si>
    <t>Condulete de alumínio roscável tipo "LR" Ø 1 1/4"</t>
  </si>
  <si>
    <t>14.16</t>
  </si>
  <si>
    <t xml:space="preserve">Condulete em liga de alumínio fundido,  Ø1 1/2". Aparente, incluso espelho, Conexões: (B,C,E,LB,LL,LR,T,TB,X)                            </t>
  </si>
  <si>
    <t>Condulete de alumínio roscável tipo "LR" Ø 1 1/2"</t>
  </si>
  <si>
    <t>14.17</t>
  </si>
  <si>
    <t>Condulete em liga de alumínio fundido,  Ø2". Aparente, incluso espelho, Conexões: (B,C,E,LB,LL,LR,T,TB,X).</t>
  </si>
  <si>
    <t>Condulete de alumínio roscável tipo "LR" Ø 2"</t>
  </si>
  <si>
    <t>14.18</t>
  </si>
  <si>
    <t>Eletrocalha perfurada #150x50mm chapa 22 AWG, tipo “U”,  chapa 22 AWG, pré-zincada à fogo, incluindo suporte horizontal (1 tirante), tirante rosca total 1/4", parafusos, arruelas, fixações,  conexões e emendas. Espaçamento máximo entre fixações de 1,5 metros.</t>
  </si>
  <si>
    <t>16.113.000443</t>
  </si>
  <si>
    <t>Materiais de fixação</t>
  </si>
  <si>
    <t>Eletrocalha perfurada em chapa de aço galvanizado # 22, tipo "U", com tampa largura 150 mm x altura 50 mm</t>
  </si>
  <si>
    <t>14.19</t>
  </si>
  <si>
    <t>Eletrocalha perfurada #200x50mm chapa 22 AWG, sem virola,  chapa 22 AWG, pré-zincada à fogo, incluindo suporte horizontal (1 tirante), tirante rosca total 1/4", parafusos, arruelas, fixações, conexões e emendas. Espaçamento máximo entre fixações de 1,5 metros.</t>
  </si>
  <si>
    <t>16.113.000626</t>
  </si>
  <si>
    <t>Eletrocalha perfurada em chapa de aço galvanizado # 22, tipo "U", com tampa largura 200 mm x altura 50 mm</t>
  </si>
  <si>
    <t>14.20</t>
  </si>
  <si>
    <t>Eletrocalha perfurada #300x50mm chapa 22 AWG, sem virola,  chapa 22 AWG, pré-zincada à fogo, incluindo suporte horizontal (1 tirante), tirante rosca total 1/4", parafusos, arruelas, fixações, conexões e emendas. Espaçamento máximo entre fixações de 1,5 metros.</t>
  </si>
  <si>
    <t>16.113.000629</t>
  </si>
  <si>
    <t>Elementos de fixação</t>
  </si>
  <si>
    <t>Eletrocalha perfurada em chapa de aço galvanizado # 22, tipo "U", com tampa largura 300 mm x altura 50 mm</t>
  </si>
  <si>
    <t>14.21</t>
  </si>
  <si>
    <t>Perfilado perfurado, chapa de aço (galvanizada eletroliticamente), dimensões: 38x38mm, com suporte, tirantes, barra roscada, mão francesa, parafusos, porcas, junção interna tipo "i"</t>
  </si>
  <si>
    <t>16.113.000972</t>
  </si>
  <si>
    <t>Perfilado em chapa de aço galvanizada perfurada 38 x 38 mm com tampa</t>
  </si>
  <si>
    <t>INSTALAÇOES EM CANALETAS PVC</t>
  </si>
  <si>
    <t>14.22</t>
  </si>
  <si>
    <t>CANALETA em PVC para instalação elétrica aparente, inclusive conexões e fixação, dimensões 20 x 10 mm</t>
  </si>
  <si>
    <t>16.111.000010</t>
  </si>
  <si>
    <t>Canaleta PVC altura 10 mm, largura 20 mm</t>
  </si>
  <si>
    <t>14.23</t>
  </si>
  <si>
    <t>CANALETA em PVC para instalação elétrica aparente, inclusive conexões e fixação, dimensões 50 x 20 mm</t>
  </si>
  <si>
    <t>16.111.000015</t>
  </si>
  <si>
    <t>Canaleta PVC altura 20 mm, largura 50 mm</t>
  </si>
  <si>
    <t>14.24</t>
  </si>
  <si>
    <t>CANALETA em PVC para instalação elétrica aparente, inclusive conexões e fixação, dimensões 110 x 20 mm</t>
  </si>
  <si>
    <t>Cotação</t>
  </si>
  <si>
    <t>Canaleta PVC altura 20 mm, largura 110 mm</t>
  </si>
  <si>
    <t>14.25</t>
  </si>
  <si>
    <t>CANALETA em PVC para piso DP3 ,para instalação elétrica aparente, inclusive conexões e fixação, dimensões 50 x 20 mm</t>
  </si>
  <si>
    <t>14.26</t>
  </si>
  <si>
    <t>Tomada elétrica dupla,  sistema X - ou em condulete eletroduto ¾ (miolo branco ou vermelho)</t>
  </si>
  <si>
    <t>14.27</t>
  </si>
  <si>
    <t>Caixa para ponto duplo RJ45,  com caixa em sistema X - ou em condulete eletroduto ¾</t>
  </si>
  <si>
    <t>16.115.000170</t>
  </si>
  <si>
    <t>14.28</t>
  </si>
  <si>
    <t>Interruptor com caixa em sistema X - ou em condulete eletroduto 3/4.</t>
  </si>
  <si>
    <t>16.115.000201</t>
  </si>
  <si>
    <t>14.29</t>
  </si>
  <si>
    <t>Caixa de ligação PVC para eletroduto flexível, retangular 4 x 2", embutido alvenaria ou drywall</t>
  </si>
  <si>
    <t>16.115.000150</t>
  </si>
  <si>
    <t>Caixa 4" x 2" em PVC para eletroduto corrugado</t>
  </si>
  <si>
    <t>14.30</t>
  </si>
  <si>
    <t>CAIXA DE LIGAÇÃO PVC,para eletroduto flexível quadrada, dimensões 4 x 4", embutido alvenaria ou drywall.</t>
  </si>
  <si>
    <t>16.115.000151</t>
  </si>
  <si>
    <t>Caixa 4" x 4" em PVC para eletroduto corrugado</t>
  </si>
  <si>
    <t>INFRA-ESTRUTURA EM DUTO DE ALUMÍNIO - DUTOTEC</t>
  </si>
  <si>
    <t>15.01</t>
  </si>
  <si>
    <t>Colunas Plus STD LIGHT 3 metros- ref.: DT 76240.01 com duas luvas de arremate, DT 76940</t>
  </si>
  <si>
    <t>Luva de arremate</t>
  </si>
  <si>
    <t>15.02</t>
  </si>
  <si>
    <t>Fixador de totem para caixa 4” x 4” OU SOBRE DUTO, ref DT 76397.00 /  DT 76391.</t>
  </si>
  <si>
    <t>15.03</t>
  </si>
  <si>
    <t>Totem Plus H=0,45m - ref.: DT 76344.00</t>
  </si>
  <si>
    <t>15.04</t>
  </si>
  <si>
    <t>Bloco para fixar  RJ 45 DT OU BLOCO CEGO  DT 99240.0 / 99200.00</t>
  </si>
  <si>
    <t>15.05</t>
  </si>
  <si>
    <t>Porta equipamento p/ tres blocos ref.: DT 64444.10</t>
  </si>
  <si>
    <t>15.06</t>
  </si>
  <si>
    <t>Tomada 2P+T  NBR 14136- miolo branco 20A/250V - ref.: DT 99233.20</t>
  </si>
  <si>
    <t>15.07</t>
  </si>
  <si>
    <t>Tomada 2P+T  NBR 14136- miolo vermelho 20A/250V - ref.: DT 99231.10</t>
  </si>
  <si>
    <t>16.01</t>
  </si>
  <si>
    <t>Sensor de presença de teto, de parede ou embutir ou teto, 127V, 60 Hz, 600 W, ângulo de abertura 360º x 115º (ou mais), jumper para temporização com opções de 1 a 20 minutos, jumper de função fotoelétrica, com fusível de proteção, alcance médio de 5,0 metros, garantia do fabricante de 2 anos (ref. Sensor Light High Performance SLMT-04, ECP LS-360TS ou similar)</t>
  </si>
  <si>
    <t>16.02</t>
  </si>
  <si>
    <t>Relé fotoelétrico, 1500w 220V, com suporte para fixação.</t>
  </si>
  <si>
    <t>Base para relé fotoelétrico e acessórios para fixação</t>
  </si>
  <si>
    <t>Rele fotoelétrico interno e externo bivolt 1000 W, de conector, sem base</t>
  </si>
  <si>
    <t>16.03</t>
  </si>
  <si>
    <t>Interruptor 1 tecla simples, placa 4x2”, modular com suporte e espelho sem parafusos, referência Siemens Ilus ou similar</t>
  </si>
  <si>
    <t>Placa 4x2” de encaixe com suporte cor branca com para 1 módulo, referência Siemens Ilus ou equivalente</t>
  </si>
  <si>
    <t>Módulo interruptor simples 1 tecla, 10 A, 250 V, referência Siemens Ilus ou equivalente</t>
  </si>
  <si>
    <t>16.04</t>
  </si>
  <si>
    <t>Interruptor 2 teclas simples, placa 4x2”, modular com suporte e espelho sem parafusos, referência Siemens Ilus ou similar</t>
  </si>
  <si>
    <t>Placa 4x2” de encaixe com suporte cor branca para 2 módulos, referência Siemens Ilus ou equivalente</t>
  </si>
  <si>
    <t>16.05</t>
  </si>
  <si>
    <t>Interruptor 3 teclas simples, placa 4x2”, modular com suporte e espelho sem parafusos, referência Siemens Ilus ou similar</t>
  </si>
  <si>
    <t>Placa 4x2” de encaixe com suporte cor branca para 3 módulos, referência Siemens Ilus ou equivalente</t>
  </si>
  <si>
    <t>16.06</t>
  </si>
  <si>
    <t>Interruptor 1 tecla paralela, placa 4x2”, modular com suporte e espelho sem parafusos, referência Siemens Ilus ou similar</t>
  </si>
  <si>
    <t>Placa 4x2” de encaixe com suporte cor branca para 1 módulo, referência Siemens Ilus ou equivalente</t>
  </si>
  <si>
    <t>Módulo interruptor paralelo 1 tecla, 10 A, 250 V, referência Siemens Ilus ou equivalente</t>
  </si>
  <si>
    <t>16.07</t>
  </si>
  <si>
    <t>Interruptor 2 teclas paralelas, placa 4x2”, modular com suporte e espelho sem parafusos, referência Siemens Ilus ou similar</t>
  </si>
  <si>
    <t>16.08</t>
  </si>
  <si>
    <t>Interruptor 3 teclas paralelas, placa 4x4”, modular com suporte e espelho sem parafusos, referência Siemens Ilus ou similar</t>
  </si>
  <si>
    <t>Placa 4x4” de encaixe com suporte cor branca para 4 módulos, referência Siemens Ilus ou equivalente</t>
  </si>
  <si>
    <t>Módulo cego, referência Siemens Ilus ou equivalente</t>
  </si>
  <si>
    <t>16.09</t>
  </si>
  <si>
    <t>Interruptor 1 tecla simples e 1 tomada 2P+T, 20 A, placa 4x2”, modular com suporte e espelho sem parafusos, referência Siemens Ilus ou similar</t>
  </si>
  <si>
    <t>Módulo tomada 2P+T, 20 A, 250 V, padrão ABNT NBR 14136, cor branca, referência Siemens Ilus ou equivalente</t>
  </si>
  <si>
    <t>16.10</t>
  </si>
  <si>
    <t>Tomada 2P+T de embutir, 20 A, placa 4x2”, modular com suporte e espelho sem parafusos, miolo branco, referência Siemens Ilus ou similar</t>
  </si>
  <si>
    <t>16.11</t>
  </si>
  <si>
    <t>Tomada 2P+T de embutir, 20 A, placa 4x2”, modular com suporte e espelho sem parafusos, miolo vermelho, referência Siemens Ilus ou similar</t>
  </si>
  <si>
    <t>Módulo tomada 2P+T, 20 A, 250 V, padrão ABNT NBR 14136, cor vermelha, referência Siemens Ilus ou equivalente</t>
  </si>
  <si>
    <t>16.12</t>
  </si>
  <si>
    <t>Tomada 2P+T dupla (2x) de embutir, 20 A, placa 4x2”, modular com suporte e espelho sem parafusos, miolo branco, referência Siemens Ilus ou similar</t>
  </si>
  <si>
    <t>16.13</t>
  </si>
  <si>
    <t>Tomada 2P+T dupla (2x) de embutir, 20 A, placa 4x2”, modular com suporte e espelho sem parafusos, miolo vermelho, referência Siemens Ilus ou similar</t>
  </si>
  <si>
    <t>16.14</t>
  </si>
  <si>
    <t>Placa 4x2” de encaixe com suporte cor branca cega ou com até 3 aberturas para módulos, referência Siemens Ilus ou equivalente</t>
  </si>
  <si>
    <t>16.15</t>
  </si>
  <si>
    <t>Placa 4x4” de encaixe com suporte cor branca cega ou com até 6 aberturas para módulos, referência Siemens Ilus ou equivalente</t>
  </si>
  <si>
    <t>16.16</t>
  </si>
  <si>
    <t>Plug macho 2P+T, 10 A, 250 V, padrão ABNT NBR 14136, fornecimento e conexão</t>
  </si>
  <si>
    <t>Plug macho 2P+T, 10 A, 250 V, padrão ABNT NBR 14136</t>
  </si>
  <si>
    <t>16.17</t>
  </si>
  <si>
    <t>Plug macho 2P+T, 20 A, 250 V, padrão ABNT NBR 14136, fornecimento e conexão</t>
  </si>
  <si>
    <t>16.18</t>
  </si>
  <si>
    <t>Plug fêmea 2P+T, 10 A, 250 V, padrão ABNT NBR 14136, fornecimento e conexão</t>
  </si>
  <si>
    <t>Plug fêmea 2P+T, 10 A, 250 V, padrão ABNT NBR 14136</t>
  </si>
  <si>
    <t>16.19</t>
  </si>
  <si>
    <t>Plug fêmea 2P+T, 20 A, 250 V, padrão ABNT NBR 14136, fornecimento e conexão</t>
  </si>
  <si>
    <t>Plug fêmea 2P+T, 20 A, 250 V, padrão ABNT NBR 14136</t>
  </si>
  <si>
    <t>CONDUTORES</t>
  </si>
  <si>
    <t>17.1</t>
  </si>
  <si>
    <t>Cabo isolado em termoplástico não halogenado 2,50 mm² - 450/750 V - 70°C – flexível</t>
  </si>
  <si>
    <t>16.119.000401</t>
  </si>
  <si>
    <t>17.2</t>
  </si>
  <si>
    <t>Cabo isolado em termoplástico não halogenado 4,00 mm² - 450/750 V - 70°C – flexível</t>
  </si>
  <si>
    <t>16.119.000402</t>
  </si>
  <si>
    <t>17.3</t>
  </si>
  <si>
    <t>Cabo isolado em termoplástico não halogenado 6,00 mm² - 450/750 V - 70°C – flexível</t>
  </si>
  <si>
    <t>16.119.000403</t>
  </si>
  <si>
    <t>17.4</t>
  </si>
  <si>
    <t>17.5</t>
  </si>
  <si>
    <t>17.6</t>
  </si>
  <si>
    <t>17.7</t>
  </si>
  <si>
    <t>17.8</t>
  </si>
  <si>
    <t>Cabo isolado em EPR não halogenado 10,00 mm² - 0,6/1 KV - 90°C – flexível</t>
  </si>
  <si>
    <t>16.119.000304</t>
  </si>
  <si>
    <t>17.9</t>
  </si>
  <si>
    <t>Cabo isolado em EPR não halogenado 16,00 mm² - 0,6/1 KV - 90°C – flexível</t>
  </si>
  <si>
    <t>16.119.000305</t>
  </si>
  <si>
    <t>17.10</t>
  </si>
  <si>
    <t>Cabo isolado em EPR não halogenado 25,00 mm² - 0,6/1 KV - 90°C – flexível</t>
  </si>
  <si>
    <t>16.119.000306</t>
  </si>
  <si>
    <t>17.11</t>
  </si>
  <si>
    <t>Cabo isolado em EPR não halogenado 35,00 mm² - 0,6/1 KV - 90°C – flexível</t>
  </si>
  <si>
    <t>16.119.000307</t>
  </si>
  <si>
    <t>17.12</t>
  </si>
  <si>
    <t>Cabo isolado em EPR não halogenado 50,00 mm² - 0,6/1 KV - 90°C – flexível</t>
  </si>
  <si>
    <t>16.119.000308</t>
  </si>
  <si>
    <t>17.13</t>
  </si>
  <si>
    <t>Cabo isolado em EPR não halogenado 70,00 mm² - 0,6/1 KV - 90°C – flexível</t>
  </si>
  <si>
    <t>16.119.000309</t>
  </si>
  <si>
    <t>17.14</t>
  </si>
  <si>
    <t>Cabo isolado em EPR não halogenado 95,00 mm² - 0,6/1 KV - 90°C – flexível</t>
  </si>
  <si>
    <t>16.119.000310</t>
  </si>
  <si>
    <t>17.15</t>
  </si>
  <si>
    <t>Cabo PP 3 condutores 1,5mm²</t>
  </si>
  <si>
    <t>17.16</t>
  </si>
  <si>
    <t>Cabo PP 3 condutores 2,5 mm²</t>
  </si>
  <si>
    <t>17.17</t>
  </si>
  <si>
    <t>Cabo PP 3 condutores 4 mm²</t>
  </si>
  <si>
    <t>17.18</t>
  </si>
  <si>
    <t>Cabo PP 4 condutores 4 mm²</t>
  </si>
  <si>
    <t>17.19</t>
  </si>
  <si>
    <t>Cabo de cobre nu 35 mm²</t>
  </si>
  <si>
    <t>Cabo paralelo  polarizado 2 vias 0,75 mm²</t>
  </si>
  <si>
    <t>média</t>
  </si>
  <si>
    <t>Terminais de compressão, luvas de emenda, Split Bolt / Forquilha / Pino / Olhal / Agulha - 10 a 35 mm³</t>
  </si>
  <si>
    <t>Terminais de compressão, luvas de emenda, Split Bolt / Forquilha / Pino / Olhal / Agulha 50 a 95mm³</t>
  </si>
  <si>
    <t>Terminais de compressão maciço longo, padrão copel TCML</t>
  </si>
  <si>
    <t>18.01</t>
  </si>
  <si>
    <t>Caixa CN</t>
  </si>
  <si>
    <t>18.02</t>
  </si>
  <si>
    <t>Caixa GNE</t>
  </si>
  <si>
    <t>18.03</t>
  </si>
  <si>
    <t>Armação secundaria de 1 estribo, com isolador roldana e acessórios para fixação em poste</t>
  </si>
  <si>
    <t>Armação vertical com haste e contra-pino, em chapa de aco galvanizado 3/16", com 1 estribo e 1 isolador</t>
  </si>
  <si>
    <t>Arruela lisa, redonda, de latao polido, diâmetro nominal 5/8", diâmetro externo = 34 mm, diâmetro do furo = 17 mm, espessura = *2,5* mm</t>
  </si>
  <si>
    <t>Vergalhão zincado rosca total, 1/4 " (6,3 mm)</t>
  </si>
  <si>
    <t>Porca zincada, sextavada, diâmetro ¼"</t>
  </si>
  <si>
    <t>18.04</t>
  </si>
  <si>
    <t>Haste de aterramento, 3 metros, coperweld, 1/2", com conector</t>
  </si>
  <si>
    <t xml:space="preserve">QUADROS ELÉTRICOS </t>
  </si>
  <si>
    <t>19.01</t>
  </si>
  <si>
    <t>QD- quadro de distribuição em aço, de sobrepor, para até 48 disjuntores DIN + disjuntor geral de capacidade até 100A.  Com barramentos fases protegidos com isolante termoretrátil, barramentos para neutro e terra, local para 1 disjuntor geral trifásico, 4DPS e dispositivo DR, tampa e subtampa com dobradiças e fechadura, deverá possuir porta-projeto. Tampa e subtampa com cabo de aterramento. (fabricado sob encomenda)</t>
  </si>
  <si>
    <t>Quadro de distribuição com barramento trifásico, de sobrepor, em chapa de aco galvanizado, para 48 disjuntores DIN, 100 A</t>
  </si>
  <si>
    <t>Disjuntor em caixa moldada tripolar 100 A, 220 V, Icc 35 kA, curva C</t>
  </si>
  <si>
    <t>19.02</t>
  </si>
  <si>
    <t>QD- quadro de distribuição de sobrepor para até 56 disjuntores din + disjuntor geral de capacidade  até 200A,  Com barramento protegido com isolante termoretrátil, barramentos para neutro e terra, local para 1 disjuntor geral trifásico, 4DPS e  Tampa com dobradiças e fechadura sem chaves, deverá possuir porta-projeto. Subtampa com dobradiças. Tampa e subtampa com cabo de aterramento. (fabricado sob encomenda)</t>
  </si>
  <si>
    <t>16.107.000030</t>
  </si>
  <si>
    <t>Quadro elétrico em chapa de aço, de sobrepor, para 64 disjuntores padrão europeu 973 x 405 x 95 mm</t>
  </si>
  <si>
    <t>Disjuntor termomagnético tripolar 200 A / 600 V, tipo FXD / ICC - 35 kA</t>
  </si>
  <si>
    <t>Kit barramento trifásico 225 A, 56 disjuntores</t>
  </si>
  <si>
    <t>19.03</t>
  </si>
  <si>
    <t>QUADRO de distribuição de luz em aço de sobrepor, até 24 divisões modulares, com barramento, neutro e terra, geral até 100A</t>
  </si>
  <si>
    <t>Quadro de distribuição com barramento trifásico, de sobrepor, em chapa de aço galvanizado, para 28 disjuntores DIN, 100 A</t>
  </si>
  <si>
    <t>DISJUNTORES</t>
  </si>
  <si>
    <t>20.01</t>
  </si>
  <si>
    <t>Dispositivo DR BIPOLAR, 25A sensibilidade 30mA</t>
  </si>
  <si>
    <t>20.02</t>
  </si>
  <si>
    <t>Dispositivo Tetra polar DR, 40A, sensibilidade 30mA</t>
  </si>
  <si>
    <t>20.03</t>
  </si>
  <si>
    <t>Dispositivo Tetra polar DR 63A, sensibilidade 30mA</t>
  </si>
  <si>
    <t>20.04</t>
  </si>
  <si>
    <t>Dispositivo Tetra polar DR 80A, sensibilidade 30mA</t>
  </si>
  <si>
    <t>20.05</t>
  </si>
  <si>
    <t>Dispositivo Tetra polar DR 100A, sensibilidade 30mA</t>
  </si>
  <si>
    <t>20.06</t>
  </si>
  <si>
    <t>Mini Disjuntor Monopolar de 6 até 32A termomagnético,norma IEC ou NEMA -  tipo de curva característica: C</t>
  </si>
  <si>
    <t>Terminal a compressao em cobre estanhado para cabo 4 mm2, 1 furo e 1 compressão, para parafuso de fixação M5</t>
  </si>
  <si>
    <t>20.07</t>
  </si>
  <si>
    <t>Mini Disjuntor Bipolar 6 até 50A termomagnético,norma IEC ou NEMA -  tipo de curva característica: C</t>
  </si>
  <si>
    <t>20.08</t>
  </si>
  <si>
    <t>Disjuntor Tripolar 10A  até 50 A, termomagnético,norma IEC ou NEMA -  tipo de curva característica: C</t>
  </si>
  <si>
    <t>Terminal a compressão em cobre estanhado para cabo 10 mm2, 1 furo e 1 compressão, para parafuso de fixação M6</t>
  </si>
  <si>
    <t>20.09</t>
  </si>
  <si>
    <t>Disjuntor Tripolar 60A até  100A termomagnético,norma IEC ou NEMA -  tipo de curva característica: C</t>
  </si>
  <si>
    <t>Terminal a compressão em cobre estanhado para cabo 25 mm2, 1 furo e 1 compressão, para parafuso de fixação M8</t>
  </si>
  <si>
    <t>20.10</t>
  </si>
  <si>
    <t>Disjuntor Tripolar 125A termomagnético,norma IEC ou NEMA -  tipo de curva característica: C</t>
  </si>
  <si>
    <t>Terminal a compressão em cobre estanhado para cabo 50 mm2, 1 furo e 1 compressão, para parafuso de fixação M8</t>
  </si>
  <si>
    <t>20.11</t>
  </si>
  <si>
    <t>Disjuntor Tripolar 150A termomagnético,norma IEC ou NEMA -  tipo de curva característica: C</t>
  </si>
  <si>
    <t>Terminal a compressão em cobre estanhado para cabo 70 mm2, 1 furo e 1 compressão, para parafuso de fixação M10</t>
  </si>
  <si>
    <t>20.12</t>
  </si>
  <si>
    <t>Disjuntor Tripolar 200 termomagnético,norma IEC ou NEMA -  tipo de curva característica: C</t>
  </si>
  <si>
    <t>Terminal a compressão em cobre estanhado para cabo 95 mm2, 1 furo e 1 compressão, para parafuso de fixação M12</t>
  </si>
  <si>
    <t>20.13</t>
  </si>
  <si>
    <t>Disjuntor Tripolar 300 até 400A termomagnético,norma IEC ou NEMA -  tipo de curva característica: C</t>
  </si>
  <si>
    <t>Terminal a compressão em cobre estanhado para cabo 120 mm2, 1 furo e 1 compressão, para parafuso de fixação M12</t>
  </si>
  <si>
    <t>20.14</t>
  </si>
  <si>
    <t>Disjuntor Tripolar 600A termomagnético, Ajustável, norma IEC ou NEMA -  tipo de curva característica: C</t>
  </si>
  <si>
    <t>20.15</t>
  </si>
  <si>
    <t>Disjuntor Tripolar 800A termomagnético, Ajustável, norma IEC ou NEMA -  tipo de curva característica: C</t>
  </si>
  <si>
    <t>20.16</t>
  </si>
  <si>
    <t>DPS- Dispositivo de Proteção Contra Surtos- VCL SLIM 30KA/175V Clamper ou equivalente.</t>
  </si>
  <si>
    <t>Dispositivo DPS classe II, 1 polo, tensão máxima de 175 V, corrente máxima de *30* kA (tipo ac)</t>
  </si>
  <si>
    <t>COMANDO E AUTOMAÇÃO</t>
  </si>
  <si>
    <t>21.01</t>
  </si>
  <si>
    <t>Chave comutadora semitrans- 3 posições, 1-0-2 , capacidade 100A, tres polos.</t>
  </si>
  <si>
    <t>21.02</t>
  </si>
  <si>
    <t>Contator tripolar corrente nominal 7A (AC-3), 220 VAC</t>
  </si>
  <si>
    <t>Terminal a compressão em cobre estanhado para cabo 4 mm2, 1 furo e 1 compressão, para parafuso de fixação M5</t>
  </si>
  <si>
    <t>21.03</t>
  </si>
  <si>
    <t>Contator tripolar, corrente de 22A, tensão nominal de 500 v, categoria AC-2 e AC-3</t>
  </si>
  <si>
    <t>21.04</t>
  </si>
  <si>
    <t>Relé de falta e sequencia de fase trifásico 220 V</t>
  </si>
  <si>
    <t>21.05</t>
  </si>
  <si>
    <t>Relé cíclico regulável. Em tempo iguais, ajuste de 3 a 30 minutos</t>
  </si>
  <si>
    <t>21.06</t>
  </si>
  <si>
    <t>Temporizador Digital horário, mínimo 10 programas,display LCD, programa diário,semanal, final de semana, bateria recarregável, 100-240V, acionamento manual, fixação em trilho dim</t>
  </si>
  <si>
    <t>21.07</t>
  </si>
  <si>
    <t>Relé térmico bimetal para uso em motores trifásicos, tensão 380 V, potência ate 15 CV, corrente nominal máxima 22 A</t>
  </si>
  <si>
    <t>ILUMINAÇÃO / LÂMPADAS, REATORES E LUMINÁRIAS</t>
  </si>
  <si>
    <t>LÂMPADAS</t>
  </si>
  <si>
    <t>22.01</t>
  </si>
  <si>
    <t>Lâmpada Tubular LED de 9/10 W, base G13 - Fornecimento e instalação</t>
  </si>
  <si>
    <t>22.02</t>
  </si>
  <si>
    <t>Lâmpada tubular LED de 18/20 W, base G13 - fornecimento e instalação</t>
  </si>
  <si>
    <t>22.03</t>
  </si>
  <si>
    <t>Lampada bulbo  de LED 9W , 4000K, IRC&gt;85 900 lumens- Bivolt - com certificado inmetro</t>
  </si>
  <si>
    <t>22.04</t>
  </si>
  <si>
    <t xml:space="preserve">Refletor externo  SUPER LED 50W - 6000K, </t>
  </si>
  <si>
    <t>22.05</t>
  </si>
  <si>
    <t>Refletor externo SUPER LED 100W - 9000 lumens</t>
  </si>
  <si>
    <t>LUMINÁRIAS</t>
  </si>
  <si>
    <t>22.07</t>
  </si>
  <si>
    <t>luminária 2x16W com refletor, com ou sem aletas parabólicas, embutir ou sobrepor</t>
  </si>
  <si>
    <t>Luminária em chapa de aço tipo calha de sobrepor para 2 lâmpadas fluorescentes tubulares</t>
  </si>
  <si>
    <t>22.08</t>
  </si>
  <si>
    <t>luminária 4x16W com refletor, com aletas ou sem aletas parabólicas, de  embutir ou sobrepor</t>
  </si>
  <si>
    <t>22.10</t>
  </si>
  <si>
    <t>luminária 2x32W com refletor, com ou  sem  aletas parabólicas, embutir ou sobrepor</t>
  </si>
  <si>
    <t>22.11</t>
  </si>
  <si>
    <t xml:space="preserve">luminária tipo calha 2x32W </t>
  </si>
  <si>
    <t>22.12</t>
  </si>
  <si>
    <t>luminária de sobrepor ou embutir, redonda, vidro temperado, com 2 bocais E27.</t>
  </si>
  <si>
    <t>Luminária tipo tartaruga, em alumínio, vidro, branca</t>
  </si>
  <si>
    <t>Luminária autônoma de emergência, com 30 LEDs, tensão alim. 127/220V. Com fixação por parafusos na lateral, Fab. FLC mod. 04 Horas Acesa ou equivalente</t>
  </si>
  <si>
    <t>CABEAMENTO ESTRUTURADO e TELEFONIA</t>
  </si>
  <si>
    <t>23.01</t>
  </si>
  <si>
    <t>Tomada  Keystone RJ45 categoria 6 - ref furukawa</t>
  </si>
  <si>
    <t>23.02</t>
  </si>
  <si>
    <t>Cabo de lógica 4 pares Cat. 6  UTP na cor cinza ou azul</t>
  </si>
  <si>
    <t>Eletricista Industrial com encargos complementares</t>
  </si>
  <si>
    <t>Cabo de lógica 4 pares Cat. 6  UTP -  norma ANSI/TIA/EIA-568-B.2-1 instalado com mão de obra qualificada, sem estrangulamento do cabo, sem torção, sem deformação, fixado com velcro, sem descobrimento acima de 13mm da capa. Ref. Furukawa linha profissional ou similar.</t>
  </si>
  <si>
    <t>23.03</t>
  </si>
  <si>
    <t>Patch-pannel 24 portas RJ-45, padrão 19", cat-6 T568A/B referência Furukawa ou similar.</t>
  </si>
  <si>
    <t>23.04</t>
  </si>
  <si>
    <t>Organizador de cabos horizontal, 19".</t>
  </si>
  <si>
    <t>23.05</t>
  </si>
  <si>
    <t>Régua de tomadas com 12 posições NBR 14136 10 A</t>
  </si>
  <si>
    <t>23.06</t>
  </si>
  <si>
    <t>Patch Cord RJ45-RJ45, CAT¨6 - 2,5m</t>
  </si>
  <si>
    <t>23.07</t>
  </si>
  <si>
    <t>Rack de piso 40UN, fechado, 19", Profundidade: 800mm</t>
  </si>
  <si>
    <t>MEDIA</t>
  </si>
  <si>
    <t>23.08</t>
  </si>
  <si>
    <t>Bandeja fixação dupla  para rack 19", 1U suportes ajustaveis</t>
  </si>
  <si>
    <t>23.09</t>
  </si>
  <si>
    <t>Serviço de certificação de ponto lógico cat-6 com emissão de relatório</t>
  </si>
  <si>
    <t>Eletrotécnico com encargos complementares</t>
  </si>
  <si>
    <t>23.10</t>
  </si>
  <si>
    <t>Caixa nº4 (60x60x15cm) padrão Telebrás (para uso abrigado) sobrepor ou embutido, com barramento de cobre para aterramento.</t>
  </si>
  <si>
    <t>17.102.000010</t>
  </si>
  <si>
    <t>Caixa telefônica de embutir padrão Telebras 60 x 60 x 15 cm</t>
  </si>
  <si>
    <t>SERVIÇOS COMPLEMENTARES - LÓGICA E ELÉTRICA</t>
  </si>
  <si>
    <t>24.01</t>
  </si>
  <si>
    <t xml:space="preserve">Mão de obra por hora, de serviços especializados em cabeamento estruturado CAT6, baixa e alta tensão tais como montagem de rack, ativação de ponto lógico, instalação ou troca de swicthers, manobra de patch cords, organização de rack, montagem, identificação de pontos, laudos, vistoria e treinamento de usuário; Retirada, recolocação, organização dos equipamentos de telecomunicações, como switchers, roteadores, modens, aceleradores, pacth panels, voice panels, pacth cords, do rack antigo para rack novo, organização de rack existente,com testes de funcionamento; Reaperto em quadro elétrico, re-arme de disjuntor, procura de falhas, refazer emendas, orientação ao usuário, identificação de circuitos,  montagem de quadro elétrico,serviços em geral de eletricidade </t>
  </si>
  <si>
    <t>DIA</t>
  </si>
  <si>
    <t>h/h</t>
  </si>
  <si>
    <t>18.05</t>
  </si>
  <si>
    <t>INTERRUPTORES E TOMADAS</t>
  </si>
  <si>
    <t>ENTRADAS DE ENERGIA</t>
  </si>
  <si>
    <t>22.06</t>
  </si>
  <si>
    <t>22.09</t>
  </si>
  <si>
    <t>Coluna1</t>
  </si>
  <si>
    <r>
      <t xml:space="preserve">Fornecimento e instalação  de placas de forro modular em fibra mineral ou isopor, em estrutura existente, dimensões 1250mmx625mm ou 625x625mm - apenas as placas </t>
    </r>
    <r>
      <rPr>
        <b/>
        <sz val="11"/>
        <color indexed="2"/>
        <rFont val="Calibri"/>
        <family val="2"/>
        <scheme val="minor"/>
      </rPr>
      <t xml:space="preserve">APENAS AS PLACAS </t>
    </r>
  </si>
  <si>
    <r>
      <t xml:space="preserve">Estrutura de madeira provisória para suporte de caixa d água elevada de 1000 litros. af_05/2018_p </t>
    </r>
    <r>
      <rPr>
        <sz val="11"/>
        <color indexed="2"/>
        <rFont val="Calibri"/>
        <family val="2"/>
      </rPr>
      <t>(somente sóculo - 10%)</t>
    </r>
  </si>
  <si>
    <t>CHAPA DE ACO CARBONO LAMINADO A QUENTE, QUALIDADE ESTRUTURAL, BITOLA 3/16", E =4,75 MM (37,29 KG/M2)</t>
  </si>
  <si>
    <t>KG</t>
  </si>
  <si>
    <t>0,2000000</t>
  </si>
  <si>
    <t>PERFIL "U" SIMPLES DE ACO GALVANIZADO DOBRADO 75 X *40* MM, E = 2,65 MM</t>
  </si>
  <si>
    <t>2,6660000</t>
  </si>
  <si>
    <t>PARAFUSO ZINCADO, AUTOBROCANTE, FLANGEADO, 4,2 MM X 19 MM</t>
  </si>
  <si>
    <t>CENTO</t>
  </si>
  <si>
    <t>0,0600000</t>
  </si>
  <si>
    <t>PERFIL CARTOLA DE ACO GALVANIZADO, *20 X 30 X 10* MM, E =  0,8 MM</t>
  </si>
  <si>
    <t>1,7310000</t>
  </si>
  <si>
    <t>PARAFUSO, ASTM A307 - GRAU A, SEXTAVADO, ZINCADO, DIAMETRO 3/8" (9,52 MM), COMPRIMENTO 1 " (25,4 MM)</t>
  </si>
  <si>
    <t>0,0050000</t>
  </si>
  <si>
    <t>COMPOSICAO</t>
  </si>
  <si>
    <t>MONTADOR DE ESTRUTURA METÁLICA COM ENCARGOS COMPLEMENTARES</t>
  </si>
  <si>
    <t>0,2830000</t>
  </si>
  <si>
    <t>88316</t>
  </si>
  <si>
    <t>SERVENTE COM ENCARGOS COMPLEMENTARES</t>
  </si>
  <si>
    <t>0,1250000</t>
  </si>
  <si>
    <t>93281</t>
  </si>
  <si>
    <t>GUINCHO ELÉTRICO DE COLUNA, CAPACIDADE 400 KG, COM MOTO FREIO, MOTOR TRIFÁSICO DE 1,25 CV - CHP DIURNO. AF_03/2016</t>
  </si>
  <si>
    <t>0,0069000</t>
  </si>
  <si>
    <t>93282</t>
  </si>
  <si>
    <t>GUINCHO ELÉTRICO DE COLUNA, CAPACIDADE 400 KG, COM MOTO FREIO, MOTOR TRIFÁSICO DE 1,25 CV - CHI DIURNO. AF_03/2016</t>
  </si>
  <si>
    <t>0,0095000</t>
  </si>
  <si>
    <t>92578</t>
  </si>
  <si>
    <t>7.1</t>
  </si>
  <si>
    <t>ESTRUTURA DE AÇO COMPOSTA POR RIPAS E CAIBROS PARA TELHADOS DE MAIS DE 2 ÁGUAS PARA TELHA CERÂMICA CAPA-CANAL, INCLUSO TRANSPORTE VERTICAL. AF_07/2019</t>
  </si>
  <si>
    <t>M2</t>
  </si>
  <si>
    <t/>
  </si>
  <si>
    <t>HASTE RETA PARA GANCHO DE FERRO GALVANIZADO, COM ROSCA 1/4 " X 30 CM PARA FIXACAO DE TELHA METALICA, INCLUI PORCA E ARRUELAS DE VEDACAO</t>
  </si>
  <si>
    <t>4,1500000</t>
  </si>
  <si>
    <t>88323</t>
  </si>
  <si>
    <t>TELHADISTA COM ENCARGOS COMPLEMENTARES</t>
  </si>
  <si>
    <t>0,0009000</t>
  </si>
  <si>
    <t>94213</t>
  </si>
  <si>
    <t>TELHAMENTO COM TELHA DE AÇO/ALUMÍNIO E = 0,5 MM, COM ATÉ 2 ÁGUAS, INCLUSO IÇAMENTO. AF_07/2019</t>
  </si>
  <si>
    <t>TELHA TRAPEZOIDAL EM ACO ZINCADO, SEM PINTURA, ALTURA DE APROXIMADAMENTE 40 MM, ESPESSURA DE 0,50 MM E LARGURA UTIL DE 980 MM</t>
  </si>
  <si>
    <t>1,1660000</t>
  </si>
  <si>
    <t>0,0970000</t>
  </si>
  <si>
    <t>0,0910000</t>
  </si>
  <si>
    <t>0,0013000</t>
  </si>
  <si>
    <t>7.10</t>
  </si>
  <si>
    <t>Valor adotado
menor valor entre a média e a mediana</t>
  </si>
  <si>
    <t>destacado em verde o valor de referência
utilizado o menor valor entre a média e a mediana</t>
  </si>
  <si>
    <t>Janela maxim ar em aluminio, 80 x 60 cm (a x l), batente/requadro de 4 a 14 cm, com vidro, sem guarnicao/alizar (equivalente em m2)</t>
  </si>
  <si>
    <t>COTAÇÕES SETEMBRO 2021</t>
  </si>
  <si>
    <t>MAPA DE COTAÇÕES (SETEMBRO/201)</t>
  </si>
  <si>
    <t>ISS POPORCIONAL (sobre total)</t>
  </si>
  <si>
    <t>ISS (5% sobre serviços)</t>
  </si>
  <si>
    <t>RESUMO POR ITEM</t>
  </si>
  <si>
    <t>un.</t>
  </si>
  <si>
    <t>25,66%</t>
  </si>
  <si>
    <t>CÁLCULO DO BDI - PONTA GROSSA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</si>
</sst>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1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0"/>
    <numFmt numFmtId="165" formatCode="_-* #,##0_-;\-* #,##0_-;_-* &quot;-&quot;??_-;_-@_-"/>
    <numFmt numFmtId="166" formatCode="#,##0.0000"/>
    <numFmt numFmtId="167" formatCode="#,##0.0"/>
    <numFmt numFmtId="168" formatCode="#,##0.00000"/>
    <numFmt numFmtId="169" formatCode="#,##0.00_ ;\-#,##0.00\ "/>
    <numFmt numFmtId="170" formatCode="0.0000%"/>
    <numFmt numFmtId="171" formatCode="&quot;R$&quot;\ #,##0.00"/>
  </numFmts>
  <fonts count="40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64"/>
      <name val="Calibri"/>
      <family val="2"/>
    </font>
    <font>
      <sz val="14"/>
      <color indexed="64"/>
      <name val="Calibri"/>
      <family val="2"/>
    </font>
    <font>
      <sz val="14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12"/>
      <name val="Calibri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name val="Calibri"/>
      <family val="2"/>
    </font>
    <font>
      <b/>
      <sz val="9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b/>
      <sz val="12"/>
      <name val="Arial"/>
      <family val="2"/>
      <charset val="1"/>
    </font>
    <font>
      <b/>
      <sz val="11"/>
      <color rgb="FF000000"/>
      <name val="Calibri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</font>
    <font>
      <b/>
      <sz val="11"/>
      <color indexed="2"/>
      <name val="Calibri"/>
      <family val="2"/>
      <scheme val="minor"/>
    </font>
    <font>
      <sz val="11"/>
      <color indexed="64"/>
      <name val="Calibri"/>
      <family val="2"/>
    </font>
    <font>
      <sz val="11"/>
      <color indexed="64"/>
      <name val="Calibri"/>
      <family val="2"/>
      <scheme val="minor"/>
    </font>
    <font>
      <sz val="11"/>
      <color indexed="2"/>
      <name val="Calibri"/>
      <family val="2"/>
    </font>
    <font>
      <b/>
      <sz val="14"/>
      <color theme="1"/>
      <name val="Calibri"/>
      <family val="2"/>
      <scheme val="minor"/>
    </font>
    <font>
      <b/>
      <sz val="14"/>
      <name val="Calibri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51"/>
      </patternFill>
    </fill>
    <fill>
      <patternFill patternType="solid">
        <fgColor rgb="FF00B0F0"/>
        <bgColor indexed="51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8EAADB"/>
        <bgColor rgb="FF8EAADB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59999389629810485"/>
        <b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theme="0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5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theme="4" tint="0.79998168889431442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</fills>
  <borders count="7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theme="1"/>
      </right>
      <top style="medium">
        <color indexed="64"/>
      </top>
      <bottom style="medium">
        <color indexed="64"/>
      </bottom>
      <diagonal/>
    </border>
    <border>
      <left style="hair">
        <color theme="1"/>
      </left>
      <right style="hair">
        <color theme="1"/>
      </right>
      <top style="medium">
        <color indexed="64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medium">
        <color indexed="64"/>
      </left>
      <right style="thin">
        <color theme="1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hair">
        <color theme="1"/>
      </bottom>
      <diagonal/>
    </border>
    <border>
      <left style="hair">
        <color theme="1"/>
      </left>
      <right style="thin">
        <color indexed="64"/>
      </right>
      <top style="thin">
        <color indexed="64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thin">
        <color indexed="64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thin">
        <color indexed="64"/>
      </bottom>
      <diagonal/>
    </border>
    <border>
      <left style="hair">
        <color theme="1"/>
      </left>
      <right style="thin">
        <color indexed="64"/>
      </right>
      <top style="hair">
        <color theme="1"/>
      </top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 style="hair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/>
      <top style="hair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 style="thin">
        <color indexed="64"/>
      </top>
      <bottom/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theme="1"/>
      </top>
      <bottom style="thin">
        <color indexed="64"/>
      </bottom>
      <diagonal/>
    </border>
    <border>
      <left style="thin">
        <color theme="1"/>
      </left>
      <right/>
      <top style="hair">
        <color theme="1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hair">
        <color theme="1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/>
      <diagonal/>
    </border>
    <border>
      <left/>
      <right style="thin">
        <color theme="1"/>
      </right>
      <top/>
      <bottom/>
      <diagonal/>
    </border>
  </borders>
  <cellStyleXfs count="8">
    <xf numFmtId="0" fontId="0" fillId="0" borderId="0"/>
    <xf numFmtId="44" fontId="19" fillId="0" borderId="0" applyFont="0" applyFill="0" applyBorder="0"/>
    <xf numFmtId="0" fontId="6" fillId="0" borderId="0"/>
    <xf numFmtId="0" fontId="19" fillId="0" borderId="0"/>
    <xf numFmtId="0" fontId="19" fillId="0" borderId="0"/>
    <xf numFmtId="9" fontId="7" fillId="0" borderId="0" applyFont="0" applyFill="0" applyBorder="0"/>
    <xf numFmtId="43" fontId="19" fillId="0" borderId="0" applyFont="0" applyFill="0" applyBorder="0"/>
    <xf numFmtId="9" fontId="19" fillId="0" borderId="0" applyFont="0" applyFill="0" applyBorder="0" applyAlignment="0" applyProtection="0"/>
  </cellStyleXfs>
  <cellXfs count="399">
    <xf numFmtId="0" fontId="0" fillId="0" borderId="0" xfId="0"/>
    <xf numFmtId="0" fontId="19" fillId="0" borderId="0" xfId="4"/>
    <xf numFmtId="4" fontId="8" fillId="0" borderId="0" xfId="4" applyNumberFormat="1" applyFont="1" applyAlignment="1">
      <alignment horizontal="center"/>
    </xf>
    <xf numFmtId="10" fontId="19" fillId="0" borderId="0" xfId="4" applyNumberFormat="1" applyAlignment="1">
      <alignment horizontal="center"/>
    </xf>
    <xf numFmtId="0" fontId="9" fillId="2" borderId="4" xfId="4" applyFont="1" applyFill="1" applyBorder="1" applyAlignment="1">
      <alignment horizontal="center" vertical="center" wrapText="1"/>
    </xf>
    <xf numFmtId="0" fontId="9" fillId="2" borderId="0" xfId="4" applyFont="1" applyFill="1" applyAlignment="1">
      <alignment horizontal="center" vertical="center" wrapText="1"/>
    </xf>
    <xf numFmtId="0" fontId="10" fillId="2" borderId="0" xfId="4" applyFont="1" applyFill="1" applyAlignment="1">
      <alignment horizontal="right" vertical="center" wrapText="1"/>
    </xf>
    <xf numFmtId="17" fontId="11" fillId="2" borderId="5" xfId="4" applyNumberFormat="1" applyFont="1" applyFill="1" applyBorder="1" applyAlignment="1">
      <alignment horizontal="left" vertical="center" wrapText="1"/>
    </xf>
    <xf numFmtId="0" fontId="19" fillId="2" borderId="6" xfId="4" applyFill="1" applyBorder="1" applyAlignment="1">
      <alignment horizontal="left" vertical="center"/>
    </xf>
    <xf numFmtId="0" fontId="19" fillId="2" borderId="7" xfId="4" applyFill="1" applyBorder="1" applyAlignment="1">
      <alignment horizontal="left"/>
    </xf>
    <xf numFmtId="4" fontId="11" fillId="2" borderId="7" xfId="4" applyNumberFormat="1" applyFont="1" applyFill="1" applyBorder="1" applyAlignment="1">
      <alignment horizontal="right" vertical="center"/>
    </xf>
    <xf numFmtId="10" fontId="19" fillId="2" borderId="8" xfId="4" applyNumberFormat="1" applyFill="1" applyBorder="1" applyAlignment="1">
      <alignment horizontal="left" vertical="center"/>
    </xf>
    <xf numFmtId="0" fontId="19" fillId="0" borderId="0" xfId="4" applyAlignment="1">
      <alignment horizontal="center"/>
    </xf>
    <xf numFmtId="0" fontId="12" fillId="3" borderId="9" xfId="4" applyFont="1" applyFill="1" applyBorder="1" applyAlignment="1">
      <alignment horizontal="center" vertical="center"/>
    </xf>
    <xf numFmtId="0" fontId="12" fillId="3" borderId="10" xfId="4" applyFont="1" applyFill="1" applyBorder="1" applyAlignment="1">
      <alignment horizontal="center" vertical="center"/>
    </xf>
    <xf numFmtId="4" fontId="12" fillId="3" borderId="10" xfId="4" applyNumberFormat="1" applyFont="1" applyFill="1" applyBorder="1" applyAlignment="1">
      <alignment horizontal="center" vertical="center"/>
    </xf>
    <xf numFmtId="4" fontId="12" fillId="3" borderId="11" xfId="4" applyNumberFormat="1" applyFont="1" applyFill="1" applyBorder="1" applyAlignment="1">
      <alignment horizontal="center" vertical="center" wrapText="1"/>
    </xf>
    <xf numFmtId="0" fontId="13" fillId="4" borderId="12" xfId="4" applyFont="1" applyFill="1" applyBorder="1" applyAlignment="1">
      <alignment horizontal="center" vertical="center"/>
    </xf>
    <xf numFmtId="0" fontId="13" fillId="4" borderId="12" xfId="4" applyFont="1" applyFill="1" applyBorder="1" applyAlignment="1">
      <alignment vertical="center" wrapText="1"/>
    </xf>
    <xf numFmtId="10" fontId="14" fillId="4" borderId="12" xfId="4" applyNumberFormat="1" applyFont="1" applyFill="1" applyBorder="1" applyAlignment="1">
      <alignment horizontal="center" vertical="center"/>
    </xf>
    <xf numFmtId="0" fontId="11" fillId="4" borderId="12" xfId="4" applyFont="1" applyFill="1" applyBorder="1" applyAlignment="1">
      <alignment horizontal="center" vertical="center"/>
    </xf>
    <xf numFmtId="10" fontId="16" fillId="5" borderId="12" xfId="4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0" fillId="12" borderId="12" xfId="0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12" borderId="15" xfId="0" applyFill="1" applyBorder="1" applyAlignment="1">
      <alignment horizontal="center" vertical="center"/>
    </xf>
    <xf numFmtId="0" fontId="0" fillId="13" borderId="15" xfId="0" applyFill="1" applyBorder="1" applyAlignment="1">
      <alignment horizontal="center" vertical="center"/>
    </xf>
    <xf numFmtId="0" fontId="0" fillId="14" borderId="15" xfId="0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left" vertical="center"/>
    </xf>
    <xf numFmtId="0" fontId="0" fillId="12" borderId="12" xfId="0" applyFill="1" applyBorder="1" applyAlignment="1">
      <alignment horizontal="center" vertical="center" wrapText="1"/>
    </xf>
    <xf numFmtId="0" fontId="0" fillId="13" borderId="12" xfId="0" applyFill="1" applyBorder="1" applyAlignment="1">
      <alignment horizontal="center" vertical="center"/>
    </xf>
    <xf numFmtId="0" fontId="0" fillId="14" borderId="12" xfId="0" applyFill="1" applyBorder="1" applyAlignment="1">
      <alignment horizontal="center" vertical="center"/>
    </xf>
    <xf numFmtId="0" fontId="0" fillId="14" borderId="12" xfId="0" applyFill="1" applyBorder="1" applyAlignment="1">
      <alignment horizontal="center" vertical="center" wrapText="1"/>
    </xf>
    <xf numFmtId="0" fontId="0" fillId="13" borderId="12" xfId="0" applyFill="1" applyBorder="1" applyAlignment="1">
      <alignment horizontal="center" vertical="center" wrapText="1"/>
    </xf>
    <xf numFmtId="0" fontId="0" fillId="0" borderId="25" xfId="0" applyBorder="1" applyAlignment="1">
      <alignment horizontal="left" vertical="center" wrapText="1"/>
    </xf>
    <xf numFmtId="0" fontId="0" fillId="0" borderId="25" xfId="0" applyBorder="1" applyAlignment="1">
      <alignment vertical="center" wrapText="1"/>
    </xf>
    <xf numFmtId="0" fontId="0" fillId="0" borderId="27" xfId="0" applyBorder="1" applyAlignment="1">
      <alignment horizontal="left" vertical="center" wrapText="1"/>
    </xf>
    <xf numFmtId="0" fontId="0" fillId="12" borderId="28" xfId="0" applyFill="1" applyBorder="1" applyAlignment="1">
      <alignment horizontal="center" vertical="center" wrapText="1"/>
    </xf>
    <xf numFmtId="0" fontId="0" fillId="13" borderId="28" xfId="0" applyFill="1" applyBorder="1" applyAlignment="1">
      <alignment horizontal="center" vertical="center"/>
    </xf>
    <xf numFmtId="0" fontId="0" fillId="14" borderId="28" xfId="0" applyFill="1" applyBorder="1" applyAlignment="1">
      <alignment horizontal="center" vertical="center" wrapText="1"/>
    </xf>
    <xf numFmtId="0" fontId="6" fillId="0" borderId="0" xfId="2" applyFont="1"/>
    <xf numFmtId="0" fontId="17" fillId="0" borderId="0" xfId="3" applyFont="1"/>
    <xf numFmtId="0" fontId="19" fillId="0" borderId="0" xfId="3"/>
    <xf numFmtId="0" fontId="6" fillId="0" borderId="29" xfId="3" applyFont="1" applyBorder="1"/>
    <xf numFmtId="0" fontId="6" fillId="0" borderId="0" xfId="3" applyFont="1"/>
    <xf numFmtId="0" fontId="6" fillId="0" borderId="18" xfId="3" applyFont="1" applyBorder="1"/>
    <xf numFmtId="10" fontId="6" fillId="0" borderId="32" xfId="3" applyNumberFormat="1" applyFont="1" applyBorder="1" applyAlignment="1">
      <alignment horizontal="center" vertical="top" wrapText="1"/>
    </xf>
    <xf numFmtId="10" fontId="6" fillId="0" borderId="33" xfId="3" applyNumberFormat="1" applyFont="1" applyBorder="1" applyAlignment="1">
      <alignment horizontal="center" vertical="top" wrapText="1"/>
    </xf>
    <xf numFmtId="0" fontId="6" fillId="0" borderId="8" xfId="3" applyFont="1" applyBorder="1" applyAlignment="1">
      <alignment horizontal="justify" vertical="top" wrapText="1"/>
    </xf>
    <xf numFmtId="10" fontId="6" fillId="17" borderId="33" xfId="3" applyNumberFormat="1" applyFont="1" applyFill="1" applyBorder="1" applyAlignment="1">
      <alignment horizontal="center" vertical="top" wrapText="1"/>
    </xf>
    <xf numFmtId="0" fontId="6" fillId="0" borderId="29" xfId="3" applyFont="1" applyBorder="1" applyAlignment="1">
      <alignment horizontal="justify"/>
    </xf>
    <xf numFmtId="10" fontId="6" fillId="16" borderId="12" xfId="5" applyNumberFormat="1" applyFont="1" applyFill="1" applyBorder="1" applyAlignment="1">
      <alignment horizontal="center"/>
    </xf>
    <xf numFmtId="0" fontId="19" fillId="0" borderId="37" xfId="3" applyBorder="1"/>
    <xf numFmtId="0" fontId="19" fillId="0" borderId="38" xfId="3" applyBorder="1"/>
    <xf numFmtId="0" fontId="19" fillId="0" borderId="16" xfId="3" applyBorder="1"/>
    <xf numFmtId="0" fontId="6" fillId="0" borderId="39" xfId="3" applyFont="1" applyBorder="1" applyAlignment="1">
      <alignment horizontal="center"/>
    </xf>
    <xf numFmtId="0" fontId="6" fillId="0" borderId="40" xfId="3" applyFont="1" applyBorder="1" applyAlignment="1">
      <alignment horizontal="center"/>
    </xf>
    <xf numFmtId="0" fontId="19" fillId="0" borderId="41" xfId="3" applyBorder="1"/>
    <xf numFmtId="0" fontId="19" fillId="0" borderId="42" xfId="3" applyBorder="1"/>
    <xf numFmtId="43" fontId="19" fillId="0" borderId="41" xfId="3" applyNumberFormat="1" applyBorder="1"/>
    <xf numFmtId="43" fontId="19" fillId="0" borderId="42" xfId="3" applyNumberFormat="1" applyBorder="1"/>
    <xf numFmtId="43" fontId="19" fillId="0" borderId="43" xfId="3" applyNumberFormat="1" applyBorder="1"/>
    <xf numFmtId="43" fontId="19" fillId="0" borderId="44" xfId="3" applyNumberFormat="1" applyBorder="1"/>
    <xf numFmtId="0" fontId="19" fillId="0" borderId="45" xfId="3" applyBorder="1"/>
    <xf numFmtId="0" fontId="19" fillId="0" borderId="46" xfId="3" applyBorder="1"/>
    <xf numFmtId="0" fontId="6" fillId="0" borderId="19" xfId="3" applyFont="1" applyBorder="1"/>
    <xf numFmtId="43" fontId="19" fillId="0" borderId="17" xfId="3" applyNumberFormat="1" applyBorder="1"/>
    <xf numFmtId="10" fontId="19" fillId="0" borderId="0" xfId="3" applyNumberFormat="1"/>
    <xf numFmtId="4" fontId="19" fillId="0" borderId="0" xfId="3" applyNumberForma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1" fillId="4" borderId="13" xfId="4" applyFont="1" applyFill="1" applyBorder="1" applyAlignment="1">
      <alignment horizontal="center" vertical="center"/>
    </xf>
    <xf numFmtId="0" fontId="13" fillId="4" borderId="13" xfId="4" applyFont="1" applyFill="1" applyBorder="1" applyAlignment="1">
      <alignment vertical="center" wrapText="1"/>
    </xf>
    <xf numFmtId="10" fontId="14" fillId="4" borderId="13" xfId="4" applyNumberFormat="1" applyFont="1" applyFill="1" applyBorder="1" applyAlignment="1">
      <alignment horizontal="center" vertical="center"/>
    </xf>
    <xf numFmtId="0" fontId="11" fillId="4" borderId="14" xfId="4" applyFont="1" applyFill="1" applyBorder="1" applyAlignment="1">
      <alignment horizontal="center" vertical="center"/>
    </xf>
    <xf numFmtId="0" fontId="13" fillId="4" borderId="14" xfId="4" applyFont="1" applyFill="1" applyBorder="1" applyAlignment="1">
      <alignment vertical="center" wrapText="1"/>
    </xf>
    <xf numFmtId="10" fontId="14" fillId="4" borderId="14" xfId="4" applyNumberFormat="1" applyFont="1" applyFill="1" applyBorder="1" applyAlignment="1">
      <alignment horizontal="center" vertical="center"/>
    </xf>
    <xf numFmtId="0" fontId="11" fillId="4" borderId="14" xfId="4" applyFont="1" applyFill="1" applyBorder="1" applyAlignment="1">
      <alignment vertical="center"/>
    </xf>
    <xf numFmtId="4" fontId="13" fillId="4" borderId="14" xfId="4" applyNumberFormat="1" applyFont="1" applyFill="1" applyBorder="1" applyAlignment="1">
      <alignment vertical="center" wrapText="1"/>
    </xf>
    <xf numFmtId="0" fontId="0" fillId="0" borderId="47" xfId="0" applyBorder="1" applyAlignment="1">
      <alignment horizontal="center" vertical="center"/>
    </xf>
    <xf numFmtId="0" fontId="0" fillId="0" borderId="47" xfId="0" applyBorder="1" applyAlignment="1">
      <alignment vertical="center" wrapText="1"/>
    </xf>
    <xf numFmtId="4" fontId="0" fillId="0" borderId="47" xfId="0" applyNumberFormat="1" applyBorder="1" applyAlignment="1">
      <alignment horizontal="center" vertical="center"/>
    </xf>
    <xf numFmtId="0" fontId="17" fillId="7" borderId="53" xfId="0" applyFont="1" applyFill="1" applyBorder="1" applyAlignment="1">
      <alignment horizontal="center" vertical="center"/>
    </xf>
    <xf numFmtId="0" fontId="17" fillId="7" borderId="53" xfId="0" applyFont="1" applyFill="1" applyBorder="1" applyAlignment="1">
      <alignment horizontal="left" vertical="center"/>
    </xf>
    <xf numFmtId="0" fontId="0" fillId="19" borderId="54" xfId="0" applyFont="1" applyFill="1" applyBorder="1" applyAlignment="1">
      <alignment horizontal="center" vertical="center"/>
    </xf>
    <xf numFmtId="0" fontId="0" fillId="19" borderId="54" xfId="0" applyFont="1" applyFill="1" applyBorder="1" applyAlignment="1">
      <alignment horizontal="left" vertical="center"/>
    </xf>
    <xf numFmtId="4" fontId="0" fillId="19" borderId="54" xfId="0" applyNumberFormat="1" applyFont="1" applyFill="1" applyBorder="1" applyAlignment="1">
      <alignment horizontal="center" vertical="center"/>
    </xf>
    <xf numFmtId="0" fontId="0" fillId="0" borderId="54" xfId="0" applyFont="1" applyBorder="1" applyAlignment="1">
      <alignment horizontal="center" vertical="center"/>
    </xf>
    <xf numFmtId="0" fontId="0" fillId="0" borderId="54" xfId="0" applyFont="1" applyBorder="1" applyAlignment="1">
      <alignment horizontal="left" vertical="center"/>
    </xf>
    <xf numFmtId="4" fontId="0" fillId="0" borderId="54" xfId="0" applyNumberFormat="1" applyFont="1" applyBorder="1" applyAlignment="1">
      <alignment horizontal="center" vertical="center"/>
    </xf>
    <xf numFmtId="0" fontId="0" fillId="0" borderId="54" xfId="0" applyFont="1" applyBorder="1" applyAlignment="1">
      <alignment horizontal="left" vertical="center" wrapText="1"/>
    </xf>
    <xf numFmtId="4" fontId="0" fillId="9" borderId="54" xfId="0" applyNumberFormat="1" applyFont="1" applyFill="1" applyBorder="1" applyAlignment="1">
      <alignment horizontal="center" vertical="center"/>
    </xf>
    <xf numFmtId="0" fontId="17" fillId="7" borderId="54" xfId="0" applyFont="1" applyFill="1" applyBorder="1" applyAlignment="1">
      <alignment horizontal="center" vertical="center"/>
    </xf>
    <xf numFmtId="0" fontId="17" fillId="7" borderId="54" xfId="0" applyFont="1" applyFill="1" applyBorder="1" applyAlignment="1">
      <alignment horizontal="left" vertical="center"/>
    </xf>
    <xf numFmtId="0" fontId="0" fillId="19" borderId="54" xfId="0" applyFont="1" applyFill="1" applyBorder="1" applyAlignment="1">
      <alignment horizontal="center" vertical="center" wrapText="1"/>
    </xf>
    <xf numFmtId="0" fontId="0" fillId="19" borderId="54" xfId="0" applyFont="1" applyFill="1" applyBorder="1" applyAlignment="1">
      <alignment horizontal="left" vertical="center" wrapText="1"/>
    </xf>
    <xf numFmtId="0" fontId="0" fillId="9" borderId="54" xfId="0" applyFont="1" applyFill="1" applyBorder="1" applyAlignment="1">
      <alignment horizontal="center" vertical="center"/>
    </xf>
    <xf numFmtId="0" fontId="0" fillId="9" borderId="54" xfId="0" applyFont="1" applyFill="1" applyBorder="1" applyAlignment="1">
      <alignment horizontal="left" vertical="center"/>
    </xf>
    <xf numFmtId="164" fontId="0" fillId="0" borderId="54" xfId="0" applyNumberFormat="1" applyFont="1" applyBorder="1" applyAlignment="1">
      <alignment horizontal="center" vertical="center"/>
    </xf>
    <xf numFmtId="0" fontId="0" fillId="9" borderId="54" xfId="0" applyFont="1" applyFill="1" applyBorder="1" applyAlignment="1">
      <alignment horizontal="left" vertical="center" wrapText="1"/>
    </xf>
    <xf numFmtId="0" fontId="0" fillId="19" borderId="54" xfId="0" applyFont="1" applyFill="1" applyBorder="1" applyAlignment="1">
      <alignment vertical="center"/>
    </xf>
    <xf numFmtId="164" fontId="0" fillId="19" borderId="54" xfId="0" applyNumberFormat="1" applyFont="1" applyFill="1" applyBorder="1" applyAlignment="1">
      <alignment horizontal="center" vertical="center"/>
    </xf>
    <xf numFmtId="0" fontId="0" fillId="0" borderId="54" xfId="0" applyFont="1" applyBorder="1" applyAlignment="1">
      <alignment vertical="center"/>
    </xf>
    <xf numFmtId="166" fontId="0" fillId="0" borderId="54" xfId="0" applyNumberFormat="1" applyFont="1" applyBorder="1" applyAlignment="1">
      <alignment horizontal="center" vertical="center"/>
    </xf>
    <xf numFmtId="166" fontId="0" fillId="19" borderId="54" xfId="0" applyNumberFormat="1" applyFont="1" applyFill="1" applyBorder="1" applyAlignment="1">
      <alignment horizontal="center" vertical="center"/>
    </xf>
    <xf numFmtId="0" fontId="0" fillId="0" borderId="54" xfId="0" applyFont="1" applyBorder="1" applyAlignment="1">
      <alignment horizontal="center" vertical="center" wrapText="1"/>
    </xf>
    <xf numFmtId="0" fontId="23" fillId="0" borderId="54" xfId="0" applyFont="1" applyBorder="1" applyAlignment="1">
      <alignment horizontal="center" vertical="center"/>
    </xf>
    <xf numFmtId="0" fontId="23" fillId="0" borderId="54" xfId="0" applyFont="1" applyBorder="1" applyAlignment="1">
      <alignment horizontal="center" vertical="center" wrapText="1"/>
    </xf>
    <xf numFmtId="0" fontId="23" fillId="0" borderId="54" xfId="0" applyFont="1" applyBorder="1" applyAlignment="1">
      <alignment horizontal="left" vertical="center" wrapText="1"/>
    </xf>
    <xf numFmtId="4" fontId="23" fillId="0" borderId="54" xfId="0" applyNumberFormat="1" applyFont="1" applyBorder="1" applyAlignment="1">
      <alignment horizontal="center" vertical="center" wrapText="1"/>
    </xf>
    <xf numFmtId="4" fontId="23" fillId="0" borderId="54" xfId="1" applyNumberFormat="1" applyFont="1" applyBorder="1" applyAlignment="1">
      <alignment horizontal="center" vertical="center" wrapText="1"/>
    </xf>
    <xf numFmtId="4" fontId="22" fillId="0" borderId="54" xfId="0" applyNumberFormat="1" applyFont="1" applyBorder="1" applyAlignment="1">
      <alignment horizontal="center" vertical="center"/>
    </xf>
    <xf numFmtId="4" fontId="22" fillId="19" borderId="54" xfId="0" applyNumberFormat="1" applyFont="1" applyFill="1" applyBorder="1" applyAlignment="1">
      <alignment horizontal="center" vertical="center"/>
    </xf>
    <xf numFmtId="167" fontId="0" fillId="19" borderId="54" xfId="0" applyNumberFormat="1" applyFont="1" applyFill="1" applyBorder="1" applyAlignment="1">
      <alignment horizontal="center" vertical="center"/>
    </xf>
    <xf numFmtId="3" fontId="0" fillId="0" borderId="54" xfId="0" applyNumberFormat="1" applyFont="1" applyBorder="1" applyAlignment="1">
      <alignment horizontal="center" vertical="center"/>
    </xf>
    <xf numFmtId="3" fontId="0" fillId="19" borderId="54" xfId="0" applyNumberFormat="1" applyFont="1" applyFill="1" applyBorder="1" applyAlignment="1">
      <alignment horizontal="center" vertical="center"/>
    </xf>
    <xf numFmtId="0" fontId="23" fillId="19" borderId="54" xfId="0" applyFont="1" applyFill="1" applyBorder="1" applyAlignment="1">
      <alignment horizontal="center" vertical="center"/>
    </xf>
    <xf numFmtId="0" fontId="23" fillId="19" borderId="54" xfId="0" applyFont="1" applyFill="1" applyBorder="1" applyAlignment="1">
      <alignment horizontal="center" vertical="center" wrapText="1"/>
    </xf>
    <xf numFmtId="0" fontId="23" fillId="19" borderId="54" xfId="0" applyFont="1" applyFill="1" applyBorder="1" applyAlignment="1">
      <alignment horizontal="left" vertical="center" wrapText="1"/>
    </xf>
    <xf numFmtId="4" fontId="23" fillId="19" borderId="54" xfId="0" applyNumberFormat="1" applyFont="1" applyFill="1" applyBorder="1" applyAlignment="1">
      <alignment horizontal="center" vertical="center" wrapText="1"/>
    </xf>
    <xf numFmtId="4" fontId="23" fillId="19" borderId="54" xfId="1" applyNumberFormat="1" applyFont="1" applyFill="1" applyBorder="1" applyAlignment="1">
      <alignment horizontal="center" vertical="center" wrapText="1"/>
    </xf>
    <xf numFmtId="3" fontId="0" fillId="19" borderId="54" xfId="0" applyNumberFormat="1" applyFont="1" applyFill="1" applyBorder="1" applyAlignment="1">
      <alignment horizontal="center" vertical="center" wrapText="1"/>
    </xf>
    <xf numFmtId="168" fontId="0" fillId="19" borderId="54" xfId="0" applyNumberFormat="1" applyFont="1" applyFill="1" applyBorder="1" applyAlignment="1">
      <alignment horizontal="center" vertical="center"/>
    </xf>
    <xf numFmtId="0" fontId="0" fillId="19" borderId="54" xfId="0" applyFont="1" applyFill="1" applyBorder="1" applyAlignment="1">
      <alignment vertical="center" wrapText="1"/>
    </xf>
    <xf numFmtId="0" fontId="17" fillId="6" borderId="57" xfId="0" applyFont="1" applyFill="1" applyBorder="1" applyAlignment="1">
      <alignment horizontal="center" vertical="center" wrapText="1"/>
    </xf>
    <xf numFmtId="4" fontId="17" fillId="6" borderId="57" xfId="0" applyNumberFormat="1" applyFont="1" applyFill="1" applyBorder="1" applyAlignment="1">
      <alignment horizontal="center" vertical="center" wrapText="1"/>
    </xf>
    <xf numFmtId="4" fontId="17" fillId="6" borderId="57" xfId="1" applyNumberFormat="1" applyFont="1" applyFill="1" applyBorder="1" applyAlignment="1">
      <alignment horizontal="center" vertical="center" wrapText="1"/>
    </xf>
    <xf numFmtId="0" fontId="17" fillId="7" borderId="55" xfId="0" applyFont="1" applyFill="1" applyBorder="1" applyAlignment="1">
      <alignment horizontal="center" vertical="center"/>
    </xf>
    <xf numFmtId="0" fontId="0" fillId="19" borderId="56" xfId="0" applyFont="1" applyFill="1" applyBorder="1" applyAlignment="1">
      <alignment horizontal="center" vertical="center"/>
    </xf>
    <xf numFmtId="0" fontId="0" fillId="0" borderId="56" xfId="0" applyFont="1" applyBorder="1" applyAlignment="1">
      <alignment horizontal="center" vertical="center"/>
    </xf>
    <xf numFmtId="0" fontId="0" fillId="10" borderId="56" xfId="0" applyFont="1" applyFill="1" applyBorder="1" applyAlignment="1">
      <alignment horizontal="center" vertical="center"/>
    </xf>
    <xf numFmtId="0" fontId="17" fillId="7" borderId="56" xfId="0" applyFont="1" applyFill="1" applyBorder="1" applyAlignment="1">
      <alignment horizontal="center" vertical="center"/>
    </xf>
    <xf numFmtId="0" fontId="23" fillId="0" borderId="56" xfId="0" applyFont="1" applyBorder="1" applyAlignment="1">
      <alignment horizontal="center" vertical="center"/>
    </xf>
    <xf numFmtId="0" fontId="23" fillId="19" borderId="56" xfId="0" applyFont="1" applyFill="1" applyBorder="1" applyAlignment="1">
      <alignment horizontal="center" vertical="center"/>
    </xf>
    <xf numFmtId="0" fontId="17" fillId="6" borderId="0" xfId="0" applyFont="1" applyFill="1" applyBorder="1" applyAlignment="1">
      <alignment horizontal="center" vertical="center"/>
    </xf>
    <xf numFmtId="0" fontId="17" fillId="6" borderId="57" xfId="0" applyFont="1" applyFill="1" applyBorder="1" applyAlignment="1">
      <alignment horizontal="center" vertical="center"/>
    </xf>
    <xf numFmtId="0" fontId="17" fillId="6" borderId="57" xfId="0" applyFont="1" applyFill="1" applyBorder="1" applyAlignment="1">
      <alignment horizontal="left" vertical="center" wrapText="1"/>
    </xf>
    <xf numFmtId="0" fontId="20" fillId="8" borderId="56" xfId="0" applyFont="1" applyFill="1" applyBorder="1" applyAlignment="1">
      <alignment horizontal="center" vertical="center"/>
    </xf>
    <xf numFmtId="0" fontId="20" fillId="8" borderId="54" xfId="0" applyFont="1" applyFill="1" applyBorder="1" applyAlignment="1">
      <alignment horizontal="center" vertical="center"/>
    </xf>
    <xf numFmtId="0" fontId="20" fillId="8" borderId="54" xfId="0" applyFont="1" applyFill="1" applyBorder="1" applyAlignment="1">
      <alignment horizontal="left" vertical="center" wrapText="1"/>
    </xf>
    <xf numFmtId="7" fontId="20" fillId="8" borderId="54" xfId="0" applyNumberFormat="1" applyFont="1" applyFill="1" applyBorder="1" applyAlignment="1">
      <alignment horizontal="center" vertical="center"/>
    </xf>
    <xf numFmtId="4" fontId="20" fillId="8" borderId="54" xfId="0" applyNumberFormat="1" applyFont="1" applyFill="1" applyBorder="1" applyAlignment="1">
      <alignment horizontal="center" vertical="center"/>
    </xf>
    <xf numFmtId="0" fontId="20" fillId="8" borderId="54" xfId="0" applyFont="1" applyFill="1" applyBorder="1" applyAlignment="1">
      <alignment horizontal="left" vertical="center"/>
    </xf>
    <xf numFmtId="0" fontId="20" fillId="8" borderId="54" xfId="0" applyFont="1" applyFill="1" applyBorder="1" applyAlignment="1">
      <alignment horizontal="center" vertical="center" wrapText="1"/>
    </xf>
    <xf numFmtId="0" fontId="20" fillId="8" borderId="56" xfId="0" applyFont="1" applyFill="1" applyBorder="1" applyAlignment="1">
      <alignment horizontal="center" vertical="center" wrapText="1"/>
    </xf>
    <xf numFmtId="0" fontId="25" fillId="11" borderId="56" xfId="0" applyFont="1" applyFill="1" applyBorder="1" applyAlignment="1">
      <alignment horizontal="center" vertical="center" wrapText="1"/>
    </xf>
    <xf numFmtId="0" fontId="25" fillId="11" borderId="54" xfId="0" applyFont="1" applyFill="1" applyBorder="1" applyAlignment="1">
      <alignment horizontal="center" vertical="center" wrapText="1"/>
    </xf>
    <xf numFmtId="0" fontId="28" fillId="11" borderId="56" xfId="0" applyFont="1" applyFill="1" applyBorder="1" applyAlignment="1">
      <alignment horizontal="center" vertical="center" wrapText="1"/>
    </xf>
    <xf numFmtId="0" fontId="28" fillId="11" borderId="54" xfId="0" applyFont="1" applyFill="1" applyBorder="1" applyAlignment="1">
      <alignment horizontal="center" vertical="center" wrapText="1"/>
    </xf>
    <xf numFmtId="4" fontId="20" fillId="8" borderId="56" xfId="0" applyNumberFormat="1" applyFont="1" applyFill="1" applyBorder="1" applyAlignment="1">
      <alignment horizontal="center" vertical="center" wrapText="1"/>
    </xf>
    <xf numFmtId="4" fontId="20" fillId="8" borderId="54" xfId="0" applyNumberFormat="1" applyFont="1" applyFill="1" applyBorder="1" applyAlignment="1">
      <alignment horizontal="center" vertical="center" wrapText="1"/>
    </xf>
    <xf numFmtId="4" fontId="20" fillId="8" borderId="54" xfId="0" applyNumberFormat="1" applyFont="1" applyFill="1" applyBorder="1" applyAlignment="1">
      <alignment horizontal="left" vertical="center" wrapText="1"/>
    </xf>
    <xf numFmtId="0" fontId="20" fillId="10" borderId="56" xfId="0" applyFont="1" applyFill="1" applyBorder="1" applyAlignment="1">
      <alignment horizontal="center" vertical="center"/>
    </xf>
    <xf numFmtId="0" fontId="28" fillId="11" borderId="54" xfId="0" applyFont="1" applyFill="1" applyBorder="1" applyAlignment="1">
      <alignment horizontal="left" vertical="center" wrapText="1"/>
    </xf>
    <xf numFmtId="0" fontId="0" fillId="21" borderId="56" xfId="0" applyFont="1" applyFill="1" applyBorder="1" applyAlignment="1">
      <alignment horizontal="center" vertical="center"/>
    </xf>
    <xf numFmtId="0" fontId="0" fillId="21" borderId="54" xfId="0" applyFont="1" applyFill="1" applyBorder="1" applyAlignment="1">
      <alignment horizontal="center" vertical="center"/>
    </xf>
    <xf numFmtId="0" fontId="0" fillId="21" borderId="54" xfId="0" applyFont="1" applyFill="1" applyBorder="1" applyAlignment="1">
      <alignment horizontal="left" vertical="center"/>
    </xf>
    <xf numFmtId="4" fontId="0" fillId="21" borderId="54" xfId="0" applyNumberFormat="1" applyFont="1" applyFill="1" applyBorder="1" applyAlignment="1">
      <alignment horizontal="center" vertical="center"/>
    </xf>
    <xf numFmtId="0" fontId="0" fillId="9" borderId="56" xfId="0" applyFont="1" applyFill="1" applyBorder="1" applyAlignment="1">
      <alignment horizontal="center" vertical="center"/>
    </xf>
    <xf numFmtId="0" fontId="0" fillId="9" borderId="56" xfId="0" applyFont="1" applyFill="1" applyBorder="1"/>
    <xf numFmtId="0" fontId="0" fillId="9" borderId="54" xfId="0" applyFont="1" applyFill="1" applyBorder="1"/>
    <xf numFmtId="0" fontId="0" fillId="9" borderId="54" xfId="0" applyFont="1" applyFill="1" applyBorder="1" applyAlignment="1">
      <alignment horizontal="left"/>
    </xf>
    <xf numFmtId="0" fontId="0" fillId="9" borderId="56" xfId="0" applyFont="1" applyFill="1" applyBorder="1" applyAlignment="1">
      <alignment vertical="center"/>
    </xf>
    <xf numFmtId="0" fontId="0" fillId="9" borderId="54" xfId="0" applyFont="1" applyFill="1" applyBorder="1" applyAlignment="1">
      <alignment vertical="center"/>
    </xf>
    <xf numFmtId="4" fontId="22" fillId="9" borderId="54" xfId="0" applyNumberFormat="1" applyFont="1" applyFill="1" applyBorder="1" applyAlignment="1">
      <alignment horizontal="center" vertical="center"/>
    </xf>
    <xf numFmtId="4" fontId="22" fillId="21" borderId="54" xfId="0" applyNumberFormat="1" applyFont="1" applyFill="1" applyBorder="1" applyAlignment="1">
      <alignment horizontal="center" vertical="center"/>
    </xf>
    <xf numFmtId="0" fontId="0" fillId="21" borderId="54" xfId="0" applyFont="1" applyFill="1" applyBorder="1" applyAlignment="1">
      <alignment horizontal="left" vertical="center" wrapText="1"/>
    </xf>
    <xf numFmtId="3" fontId="0" fillId="9" borderId="54" xfId="0" applyNumberFormat="1" applyFont="1" applyFill="1" applyBorder="1" applyAlignment="1">
      <alignment horizontal="center" vertical="center"/>
    </xf>
    <xf numFmtId="3" fontId="0" fillId="21" borderId="54" xfId="0" applyNumberFormat="1" applyFont="1" applyFill="1" applyBorder="1" applyAlignment="1">
      <alignment horizontal="center" vertical="center"/>
    </xf>
    <xf numFmtId="0" fontId="23" fillId="21" borderId="56" xfId="0" applyFont="1" applyFill="1" applyBorder="1" applyAlignment="1">
      <alignment horizontal="center" vertical="center"/>
    </xf>
    <xf numFmtId="0" fontId="23" fillId="21" borderId="54" xfId="0" applyFont="1" applyFill="1" applyBorder="1" applyAlignment="1">
      <alignment horizontal="center" vertical="center"/>
    </xf>
    <xf numFmtId="0" fontId="23" fillId="21" borderId="54" xfId="0" applyFont="1" applyFill="1" applyBorder="1" applyAlignment="1">
      <alignment horizontal="left" vertical="center"/>
    </xf>
    <xf numFmtId="4" fontId="23" fillId="21" borderId="54" xfId="0" applyNumberFormat="1" applyFont="1" applyFill="1" applyBorder="1" applyAlignment="1">
      <alignment horizontal="center" vertical="center"/>
    </xf>
    <xf numFmtId="0" fontId="0" fillId="9" borderId="54" xfId="0" applyFont="1" applyFill="1" applyBorder="1" applyAlignment="1">
      <alignment vertical="center" wrapText="1"/>
    </xf>
    <xf numFmtId="0" fontId="23" fillId="21" borderId="54" xfId="0" applyFont="1" applyFill="1" applyBorder="1" applyAlignment="1">
      <alignment horizontal="center" vertical="center" wrapText="1"/>
    </xf>
    <xf numFmtId="0" fontId="23" fillId="21" borderId="54" xfId="0" applyFont="1" applyFill="1" applyBorder="1" applyAlignment="1">
      <alignment horizontal="left" vertical="center" wrapText="1"/>
    </xf>
    <xf numFmtId="4" fontId="23" fillId="21" borderId="54" xfId="0" applyNumberFormat="1" applyFont="1" applyFill="1" applyBorder="1" applyAlignment="1">
      <alignment horizontal="center" vertical="center" wrapText="1"/>
    </xf>
    <xf numFmtId="4" fontId="23" fillId="21" borderId="54" xfId="1" applyNumberFormat="1" applyFont="1" applyFill="1" applyBorder="1" applyAlignment="1">
      <alignment horizontal="center" vertical="center" wrapText="1"/>
    </xf>
    <xf numFmtId="0" fontId="17" fillId="22" borderId="56" xfId="0" applyFont="1" applyFill="1" applyBorder="1" applyAlignment="1">
      <alignment horizontal="center" vertical="center"/>
    </xf>
    <xf numFmtId="0" fontId="17" fillId="22" borderId="54" xfId="0" applyFont="1" applyFill="1" applyBorder="1" applyAlignment="1">
      <alignment horizontal="center" vertical="center"/>
    </xf>
    <xf numFmtId="0" fontId="17" fillId="22" borderId="54" xfId="0" applyFont="1" applyFill="1" applyBorder="1" applyAlignment="1">
      <alignment horizontal="center" vertical="center" wrapText="1"/>
    </xf>
    <xf numFmtId="0" fontId="17" fillId="22" borderId="54" xfId="0" applyFont="1" applyFill="1" applyBorder="1" applyAlignment="1">
      <alignment horizontal="left" vertical="center" wrapText="1"/>
    </xf>
    <xf numFmtId="4" fontId="17" fillId="22" borderId="54" xfId="0" applyNumberFormat="1" applyFont="1" applyFill="1" applyBorder="1" applyAlignment="1">
      <alignment horizontal="center" vertical="center" wrapText="1"/>
    </xf>
    <xf numFmtId="4" fontId="17" fillId="22" borderId="54" xfId="1" applyNumberFormat="1" applyFont="1" applyFill="1" applyBorder="1" applyAlignment="1">
      <alignment horizontal="center" vertical="center" wrapText="1"/>
    </xf>
    <xf numFmtId="0" fontId="0" fillId="9" borderId="0" xfId="0" applyFill="1" applyAlignment="1">
      <alignment vertical="center"/>
    </xf>
    <xf numFmtId="0" fontId="0" fillId="9" borderId="0" xfId="0" applyFill="1"/>
    <xf numFmtId="0" fontId="0" fillId="23" borderId="54" xfId="0" applyFont="1" applyFill="1" applyBorder="1" applyAlignment="1">
      <alignment horizontal="center" vertical="center"/>
    </xf>
    <xf numFmtId="0" fontId="0" fillId="23" borderId="54" xfId="0" applyFont="1" applyFill="1" applyBorder="1" applyAlignment="1">
      <alignment horizontal="left" vertical="center"/>
    </xf>
    <xf numFmtId="4" fontId="0" fillId="23" borderId="54" xfId="0" applyNumberFormat="1" applyFont="1" applyFill="1" applyBorder="1" applyAlignment="1">
      <alignment horizontal="center" vertical="center"/>
    </xf>
    <xf numFmtId="0" fontId="0" fillId="23" borderId="54" xfId="0" applyFont="1" applyFill="1" applyBorder="1" applyAlignment="1">
      <alignment horizontal="left" vertical="center" wrapText="1"/>
    </xf>
    <xf numFmtId="0" fontId="18" fillId="23" borderId="54" xfId="0" applyFont="1" applyFill="1" applyBorder="1" applyAlignment="1">
      <alignment horizontal="left" vertical="center" wrapText="1"/>
    </xf>
    <xf numFmtId="0" fontId="5" fillId="19" borderId="56" xfId="0" applyFont="1" applyFill="1" applyBorder="1" applyAlignment="1">
      <alignment horizontal="center" vertical="center"/>
    </xf>
    <xf numFmtId="0" fontId="5" fillId="19" borderId="54" xfId="0" applyFont="1" applyFill="1" applyBorder="1" applyAlignment="1">
      <alignment horizontal="center" vertical="center"/>
    </xf>
    <xf numFmtId="0" fontId="5" fillId="19" borderId="54" xfId="0" applyFont="1" applyFill="1" applyBorder="1" applyAlignment="1">
      <alignment horizontal="left" vertical="center"/>
    </xf>
    <xf numFmtId="4" fontId="5" fillId="19" borderId="54" xfId="0" applyNumberFormat="1" applyFont="1" applyFill="1" applyBorder="1" applyAlignment="1">
      <alignment horizontal="center" vertical="center"/>
    </xf>
    <xf numFmtId="0" fontId="5" fillId="23" borderId="56" xfId="0" applyFont="1" applyFill="1" applyBorder="1" applyAlignment="1">
      <alignment horizontal="center" vertical="center"/>
    </xf>
    <xf numFmtId="0" fontId="5" fillId="23" borderId="54" xfId="0" applyFont="1" applyFill="1" applyBorder="1" applyAlignment="1">
      <alignment horizontal="center" vertical="center"/>
    </xf>
    <xf numFmtId="0" fontId="5" fillId="23" borderId="54" xfId="0" applyFont="1" applyFill="1" applyBorder="1" applyAlignment="1">
      <alignment horizontal="left" vertical="center"/>
    </xf>
    <xf numFmtId="4" fontId="5" fillId="23" borderId="54" xfId="0" applyNumberFormat="1" applyFont="1" applyFill="1" applyBorder="1" applyAlignment="1">
      <alignment horizontal="center" vertical="center"/>
    </xf>
    <xf numFmtId="0" fontId="5" fillId="23" borderId="54" xfId="0" applyFont="1" applyFill="1" applyBorder="1" applyAlignment="1">
      <alignment horizontal="left" vertical="center" wrapText="1"/>
    </xf>
    <xf numFmtId="0" fontId="5" fillId="23" borderId="54" xfId="0" applyFont="1" applyFill="1" applyBorder="1" applyAlignment="1">
      <alignment horizontal="center" vertical="center" wrapText="1"/>
    </xf>
    <xf numFmtId="0" fontId="5" fillId="19" borderId="54" xfId="0" applyFont="1" applyFill="1" applyBorder="1" applyAlignment="1">
      <alignment horizontal="center" vertical="center" wrapText="1"/>
    </xf>
    <xf numFmtId="0" fontId="5" fillId="19" borderId="54" xfId="0" applyFont="1" applyFill="1" applyBorder="1" applyAlignment="1">
      <alignment horizontal="left" vertical="center" wrapText="1"/>
    </xf>
    <xf numFmtId="164" fontId="5" fillId="23" borderId="54" xfId="0" applyNumberFormat="1" applyFont="1" applyFill="1" applyBorder="1" applyAlignment="1">
      <alignment horizontal="center" vertical="center"/>
    </xf>
    <xf numFmtId="2" fontId="5" fillId="19" borderId="54" xfId="0" applyNumberFormat="1" applyFont="1" applyFill="1" applyBorder="1" applyAlignment="1">
      <alignment horizontal="center" vertical="center"/>
    </xf>
    <xf numFmtId="0" fontId="30" fillId="23" borderId="56" xfId="0" applyFont="1" applyFill="1" applyBorder="1" applyAlignment="1">
      <alignment horizontal="center" vertical="center"/>
    </xf>
    <xf numFmtId="0" fontId="30" fillId="23" borderId="54" xfId="0" applyFont="1" applyFill="1" applyBorder="1" applyAlignment="1">
      <alignment horizontal="center" vertical="center"/>
    </xf>
    <xf numFmtId="4" fontId="30" fillId="23" borderId="54" xfId="0" applyNumberFormat="1" applyFont="1" applyFill="1" applyBorder="1" applyAlignment="1">
      <alignment horizontal="center" vertical="center"/>
    </xf>
    <xf numFmtId="0" fontId="30" fillId="19" borderId="56" xfId="0" applyFont="1" applyFill="1" applyBorder="1" applyAlignment="1">
      <alignment horizontal="center" vertical="center"/>
    </xf>
    <xf numFmtId="0" fontId="30" fillId="19" borderId="54" xfId="0" applyFont="1" applyFill="1" applyBorder="1" applyAlignment="1">
      <alignment horizontal="center" vertical="center"/>
    </xf>
    <xf numFmtId="0" fontId="31" fillId="19" borderId="54" xfId="0" applyFont="1" applyFill="1" applyBorder="1" applyAlignment="1">
      <alignment horizontal="left" vertical="center"/>
    </xf>
    <xf numFmtId="4" fontId="30" fillId="19" borderId="54" xfId="0" applyNumberFormat="1" applyFont="1" applyFill="1" applyBorder="1" applyAlignment="1">
      <alignment horizontal="center" vertical="center"/>
    </xf>
    <xf numFmtId="0" fontId="30" fillId="23" borderId="54" xfId="0" applyFont="1" applyFill="1" applyBorder="1" applyAlignment="1">
      <alignment horizontal="center" vertical="center" wrapText="1"/>
    </xf>
    <xf numFmtId="4" fontId="27" fillId="23" borderId="54" xfId="0" applyNumberFormat="1" applyFont="1" applyFill="1" applyBorder="1" applyAlignment="1">
      <alignment horizontal="center" vertical="center"/>
    </xf>
    <xf numFmtId="4" fontId="27" fillId="19" borderId="54" xfId="0" applyNumberFormat="1" applyFont="1" applyFill="1" applyBorder="1" applyAlignment="1">
      <alignment horizontal="center" vertical="center"/>
    </xf>
    <xf numFmtId="4" fontId="27" fillId="18" borderId="54" xfId="0" applyNumberFormat="1" applyFont="1" applyFill="1" applyBorder="1" applyAlignment="1">
      <alignment horizontal="center" vertical="center"/>
    </xf>
    <xf numFmtId="0" fontId="27" fillId="19" borderId="54" xfId="0" applyFont="1" applyFill="1" applyBorder="1" applyAlignment="1">
      <alignment horizontal="center" vertical="center"/>
    </xf>
    <xf numFmtId="0" fontId="27" fillId="23" borderId="54" xfId="0" applyFont="1" applyFill="1" applyBorder="1" applyAlignment="1">
      <alignment horizontal="center" vertical="center"/>
    </xf>
    <xf numFmtId="0" fontId="30" fillId="23" borderId="54" xfId="0" applyFont="1" applyFill="1" applyBorder="1" applyAlignment="1">
      <alignment horizontal="left" vertical="center"/>
    </xf>
    <xf numFmtId="0" fontId="30" fillId="23" borderId="54" xfId="0" applyFont="1" applyFill="1" applyBorder="1" applyAlignment="1">
      <alignment horizontal="left" vertical="center" wrapText="1"/>
    </xf>
    <xf numFmtId="4" fontId="26" fillId="23" borderId="54" xfId="0" applyNumberFormat="1" applyFont="1" applyFill="1" applyBorder="1" applyAlignment="1">
      <alignment horizontal="center" vertical="center"/>
    </xf>
    <xf numFmtId="0" fontId="5" fillId="19" borderId="54" xfId="0" applyFont="1" applyFill="1" applyBorder="1" applyAlignment="1">
      <alignment vertical="center"/>
    </xf>
    <xf numFmtId="165" fontId="5" fillId="19" borderId="54" xfId="6" applyNumberFormat="1" applyFont="1" applyFill="1" applyBorder="1" applyAlignment="1">
      <alignment horizontal="center" vertical="center"/>
    </xf>
    <xf numFmtId="165" fontId="5" fillId="23" borderId="54" xfId="6" applyNumberFormat="1" applyFont="1" applyFill="1" applyBorder="1" applyAlignment="1">
      <alignment horizontal="center" vertical="center"/>
    </xf>
    <xf numFmtId="164" fontId="5" fillId="19" borderId="54" xfId="0" applyNumberFormat="1" applyFont="1" applyFill="1" applyBorder="1" applyAlignment="1">
      <alignment horizontal="center" vertical="center"/>
    </xf>
    <xf numFmtId="0" fontId="5" fillId="23" borderId="54" xfId="0" applyFont="1" applyFill="1" applyBorder="1" applyAlignment="1">
      <alignment vertical="center"/>
    </xf>
    <xf numFmtId="2" fontId="5" fillId="23" borderId="54" xfId="0" applyNumberFormat="1" applyFont="1" applyFill="1" applyBorder="1" applyAlignment="1">
      <alignment horizontal="center" vertical="center"/>
    </xf>
    <xf numFmtId="166" fontId="5" fillId="23" borderId="54" xfId="0" applyNumberFormat="1" applyFont="1" applyFill="1" applyBorder="1" applyAlignment="1">
      <alignment horizontal="center" vertical="center"/>
    </xf>
    <xf numFmtId="166" fontId="5" fillId="19" borderId="54" xfId="0" applyNumberFormat="1" applyFont="1" applyFill="1" applyBorder="1" applyAlignment="1">
      <alignment horizontal="center" vertical="center"/>
    </xf>
    <xf numFmtId="0" fontId="26" fillId="19" borderId="56" xfId="0" applyFont="1" applyFill="1" applyBorder="1" applyAlignment="1">
      <alignment horizontal="center" vertical="center"/>
    </xf>
    <xf numFmtId="0" fontId="26" fillId="19" borderId="54" xfId="0" applyFont="1" applyFill="1" applyBorder="1" applyAlignment="1">
      <alignment horizontal="center" vertical="center"/>
    </xf>
    <xf numFmtId="0" fontId="26" fillId="23" borderId="56" xfId="0" applyFont="1" applyFill="1" applyBorder="1" applyAlignment="1">
      <alignment horizontal="center" vertical="center"/>
    </xf>
    <xf numFmtId="0" fontId="26" fillId="23" borderId="54" xfId="0" applyFont="1" applyFill="1" applyBorder="1" applyAlignment="1">
      <alignment horizontal="left" vertical="center"/>
    </xf>
    <xf numFmtId="0" fontId="26" fillId="19" borderId="54" xfId="0" applyFont="1" applyFill="1" applyBorder="1" applyAlignment="1">
      <alignment horizontal="left" vertical="center"/>
    </xf>
    <xf numFmtId="0" fontId="26" fillId="23" borderId="54" xfId="0" applyFont="1" applyFill="1" applyBorder="1" applyAlignment="1">
      <alignment horizontal="center" vertical="center"/>
    </xf>
    <xf numFmtId="0" fontId="26" fillId="20" borderId="54" xfId="0" applyFont="1" applyFill="1" applyBorder="1" applyAlignment="1">
      <alignment horizontal="center" vertical="center"/>
    </xf>
    <xf numFmtId="4" fontId="26" fillId="19" borderId="54" xfId="0" applyNumberFormat="1" applyFont="1" applyFill="1" applyBorder="1" applyAlignment="1">
      <alignment horizontal="center" vertical="center"/>
    </xf>
    <xf numFmtId="0" fontId="27" fillId="20" borderId="54" xfId="0" applyFont="1" applyFill="1" applyBorder="1" applyAlignment="1">
      <alignment horizontal="center" vertical="center"/>
    </xf>
    <xf numFmtId="0" fontId="26" fillId="19" borderId="54" xfId="0" applyFont="1" applyFill="1" applyBorder="1" applyAlignment="1">
      <alignment horizontal="left" vertical="center" wrapText="1"/>
    </xf>
    <xf numFmtId="0" fontId="26" fillId="23" borderId="54" xfId="0" applyFont="1" applyFill="1" applyBorder="1" applyAlignment="1">
      <alignment horizontal="left" vertical="center" wrapText="1"/>
    </xf>
    <xf numFmtId="0" fontId="30" fillId="19" borderId="54" xfId="0" applyFont="1" applyFill="1" applyBorder="1" applyAlignment="1">
      <alignment horizontal="left" vertical="center"/>
    </xf>
    <xf numFmtId="0" fontId="30" fillId="19" borderId="54" xfId="0" applyFont="1" applyFill="1" applyBorder="1" applyAlignment="1">
      <alignment horizontal="left" vertical="center" wrapText="1"/>
    </xf>
    <xf numFmtId="0" fontId="31" fillId="19" borderId="54" xfId="0" applyFont="1" applyFill="1" applyBorder="1" applyAlignment="1">
      <alignment horizontal="center" vertical="center"/>
    </xf>
    <xf numFmtId="0" fontId="31" fillId="23" borderId="54" xfId="0" applyFont="1" applyFill="1" applyBorder="1" applyAlignment="1">
      <alignment horizontal="center" vertical="center"/>
    </xf>
    <xf numFmtId="0" fontId="31" fillId="23" borderId="54" xfId="0" applyFont="1" applyFill="1" applyBorder="1" applyAlignment="1">
      <alignment horizontal="left" vertical="center"/>
    </xf>
    <xf numFmtId="0" fontId="26" fillId="19" borderId="54" xfId="0" applyFont="1" applyFill="1" applyBorder="1" applyAlignment="1">
      <alignment vertical="center"/>
    </xf>
    <xf numFmtId="0" fontId="26" fillId="23" borderId="54" xfId="0" applyFont="1" applyFill="1" applyBorder="1" applyAlignment="1">
      <alignment vertical="center"/>
    </xf>
    <xf numFmtId="0" fontId="0" fillId="24" borderId="56" xfId="0" applyFont="1" applyFill="1" applyBorder="1" applyAlignment="1">
      <alignment horizontal="center" vertical="center"/>
    </xf>
    <xf numFmtId="4" fontId="22" fillId="23" borderId="54" xfId="0" applyNumberFormat="1" applyFont="1" applyFill="1" applyBorder="1" applyAlignment="1">
      <alignment horizontal="center" vertical="center"/>
    </xf>
    <xf numFmtId="0" fontId="33" fillId="25" borderId="49" xfId="0" applyFont="1" applyFill="1" applyBorder="1" applyAlignment="1">
      <alignment horizontal="left" vertical="center"/>
    </xf>
    <xf numFmtId="0" fontId="33" fillId="25" borderId="58" xfId="0" applyFont="1" applyFill="1" applyBorder="1" applyAlignment="1">
      <alignment horizontal="left" vertical="center"/>
    </xf>
    <xf numFmtId="0" fontId="33" fillId="25" borderId="58" xfId="0" applyFont="1" applyFill="1" applyBorder="1" applyAlignment="1">
      <alignment horizontal="center" vertical="center" wrapText="1"/>
    </xf>
    <xf numFmtId="0" fontId="33" fillId="25" borderId="58" xfId="0" applyFont="1" applyFill="1" applyBorder="1" applyAlignment="1">
      <alignment horizontal="left" vertical="center" wrapText="1"/>
    </xf>
    <xf numFmtId="0" fontId="33" fillId="25" borderId="58" xfId="0" applyFont="1" applyFill="1" applyBorder="1" applyAlignment="1">
      <alignment horizontal="center" vertical="center"/>
    </xf>
    <xf numFmtId="4" fontId="33" fillId="25" borderId="58" xfId="0" applyNumberFormat="1" applyFont="1" applyFill="1" applyBorder="1" applyAlignment="1">
      <alignment horizontal="center" vertical="center"/>
    </xf>
    <xf numFmtId="4" fontId="34" fillId="25" borderId="58" xfId="0" applyNumberFormat="1" applyFont="1" applyFill="1" applyBorder="1" applyAlignment="1">
      <alignment horizontal="center" vertical="center"/>
    </xf>
    <xf numFmtId="4" fontId="33" fillId="25" borderId="59" xfId="0" applyNumberFormat="1" applyFont="1" applyFill="1" applyBorder="1" applyAlignment="1">
      <alignment horizontal="center" vertical="center"/>
    </xf>
    <xf numFmtId="0" fontId="33" fillId="25" borderId="60" xfId="0" applyFont="1" applyFill="1" applyBorder="1" applyAlignment="1">
      <alignment horizontal="left" vertical="center"/>
    </xf>
    <xf numFmtId="0" fontId="33" fillId="25" borderId="61" xfId="0" applyFont="1" applyFill="1" applyBorder="1" applyAlignment="1">
      <alignment horizontal="left" vertical="center"/>
    </xf>
    <xf numFmtId="0" fontId="33" fillId="25" borderId="61" xfId="0" applyFont="1" applyFill="1" applyBorder="1" applyAlignment="1">
      <alignment horizontal="center" vertical="center" wrapText="1"/>
    </xf>
    <xf numFmtId="0" fontId="33" fillId="25" borderId="61" xfId="0" applyFont="1" applyFill="1" applyBorder="1" applyAlignment="1">
      <alignment horizontal="left" vertical="center" wrapText="1"/>
    </xf>
    <xf numFmtId="0" fontId="33" fillId="25" borderId="61" xfId="0" applyFont="1" applyFill="1" applyBorder="1" applyAlignment="1">
      <alignment horizontal="center" vertical="center"/>
    </xf>
    <xf numFmtId="4" fontId="33" fillId="25" borderId="61" xfId="0" applyNumberFormat="1" applyFont="1" applyFill="1" applyBorder="1" applyAlignment="1">
      <alignment horizontal="center" vertical="center"/>
    </xf>
    <xf numFmtId="4" fontId="34" fillId="25" borderId="61" xfId="0" applyNumberFormat="1" applyFont="1" applyFill="1" applyBorder="1" applyAlignment="1">
      <alignment horizontal="center" vertical="center"/>
    </xf>
    <xf numFmtId="4" fontId="33" fillId="25" borderId="62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vertical="center"/>
    </xf>
    <xf numFmtId="0" fontId="35" fillId="0" borderId="0" xfId="2" applyFont="1"/>
    <xf numFmtId="0" fontId="36" fillId="0" borderId="12" xfId="2" applyFont="1" applyBorder="1" applyAlignment="1">
      <alignment horizontal="center"/>
    </xf>
    <xf numFmtId="0" fontId="36" fillId="0" borderId="19" xfId="2" applyFont="1" applyBorder="1" applyAlignment="1">
      <alignment horizontal="center"/>
    </xf>
    <xf numFmtId="0" fontId="35" fillId="0" borderId="14" xfId="2" applyFont="1" applyBorder="1" applyAlignment="1">
      <alignment vertical="center"/>
    </xf>
    <xf numFmtId="169" fontId="35" fillId="0" borderId="17" xfId="6" applyNumberFormat="1" applyFont="1" applyBorder="1" applyAlignment="1">
      <alignment horizontal="center" vertical="center"/>
    </xf>
    <xf numFmtId="169" fontId="35" fillId="0" borderId="12" xfId="6" applyNumberFormat="1" applyFont="1" applyBorder="1" applyAlignment="1">
      <alignment horizontal="center" vertical="center"/>
    </xf>
    <xf numFmtId="169" fontId="35" fillId="0" borderId="19" xfId="6" applyNumberFormat="1" applyFont="1" applyBorder="1" applyAlignment="1">
      <alignment horizontal="center" vertical="center"/>
    </xf>
    <xf numFmtId="0" fontId="35" fillId="0" borderId="14" xfId="2" applyFont="1" applyBorder="1"/>
    <xf numFmtId="0" fontId="36" fillId="0" borderId="51" xfId="2" applyFont="1" applyBorder="1"/>
    <xf numFmtId="0" fontId="35" fillId="0" borderId="52" xfId="2" applyFont="1" applyBorder="1"/>
    <xf numFmtId="0" fontId="35" fillId="0" borderId="50" xfId="2" applyFont="1" applyBorder="1"/>
    <xf numFmtId="170" fontId="36" fillId="0" borderId="14" xfId="7" applyNumberFormat="1" applyFont="1" applyBorder="1" applyAlignment="1">
      <alignment horizontal="center"/>
    </xf>
    <xf numFmtId="0" fontId="0" fillId="12" borderId="12" xfId="0" applyFill="1" applyBorder="1" applyAlignment="1">
      <alignment horizontal="center" wrapText="1"/>
    </xf>
    <xf numFmtId="0" fontId="0" fillId="0" borderId="64" xfId="0" applyBorder="1" applyAlignment="1">
      <alignment horizontal="center" vertical="center"/>
    </xf>
    <xf numFmtId="4" fontId="0" fillId="0" borderId="66" xfId="0" applyNumberFormat="1" applyBorder="1" applyAlignment="1">
      <alignment horizontal="center" vertical="center"/>
    </xf>
    <xf numFmtId="0" fontId="0" fillId="0" borderId="6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0" fillId="0" borderId="68" xfId="0" applyBorder="1" applyAlignment="1">
      <alignment vertical="center" wrapText="1"/>
    </xf>
    <xf numFmtId="0" fontId="0" fillId="0" borderId="68" xfId="0" applyBorder="1" applyAlignment="1">
      <alignment horizontal="center" vertical="center"/>
    </xf>
    <xf numFmtId="4" fontId="0" fillId="0" borderId="68" xfId="0" applyNumberFormat="1" applyBorder="1" applyAlignment="1">
      <alignment horizontal="center" vertical="center"/>
    </xf>
    <xf numFmtId="4" fontId="0" fillId="0" borderId="69" xfId="0" applyNumberFormat="1" applyBorder="1" applyAlignment="1">
      <alignment horizontal="center" vertical="center"/>
    </xf>
    <xf numFmtId="0" fontId="0" fillId="12" borderId="47" xfId="0" applyFill="1" applyBorder="1" applyAlignment="1">
      <alignment horizontal="center" vertical="center" wrapText="1"/>
    </xf>
    <xf numFmtId="0" fontId="0" fillId="12" borderId="47" xfId="0" applyFill="1" applyBorder="1" applyAlignment="1">
      <alignment horizontal="center" vertical="center"/>
    </xf>
    <xf numFmtId="0" fontId="0" fillId="13" borderId="47" xfId="0" applyFill="1" applyBorder="1" applyAlignment="1">
      <alignment horizontal="center" vertical="center"/>
    </xf>
    <xf numFmtId="0" fontId="0" fillId="14" borderId="47" xfId="0" applyFill="1" applyBorder="1" applyAlignment="1">
      <alignment horizontal="center" vertical="center"/>
    </xf>
    <xf numFmtId="0" fontId="0" fillId="14" borderId="47" xfId="0" applyFill="1" applyBorder="1" applyAlignment="1">
      <alignment horizontal="center" vertical="center" wrapText="1"/>
    </xf>
    <xf numFmtId="0" fontId="0" fillId="12" borderId="68" xfId="0" applyFill="1" applyBorder="1" applyAlignment="1">
      <alignment horizontal="center" vertical="center" wrapText="1"/>
    </xf>
    <xf numFmtId="0" fontId="0" fillId="12" borderId="68" xfId="0" applyFill="1" applyBorder="1" applyAlignment="1">
      <alignment horizontal="center" vertical="center"/>
    </xf>
    <xf numFmtId="0" fontId="0" fillId="13" borderId="68" xfId="0" applyFill="1" applyBorder="1" applyAlignment="1">
      <alignment horizontal="center" vertical="center"/>
    </xf>
    <xf numFmtId="0" fontId="0" fillId="14" borderId="68" xfId="0" applyFill="1" applyBorder="1" applyAlignment="1">
      <alignment horizontal="center" vertical="center" wrapText="1"/>
    </xf>
    <xf numFmtId="0" fontId="0" fillId="14" borderId="68" xfId="0" applyFill="1" applyBorder="1" applyAlignment="1">
      <alignment horizontal="center" vertical="center"/>
    </xf>
    <xf numFmtId="4" fontId="0" fillId="12" borderId="12" xfId="0" applyNumberFormat="1" applyFill="1" applyBorder="1" applyAlignment="1">
      <alignment horizontal="center" vertical="center"/>
    </xf>
    <xf numFmtId="4" fontId="0" fillId="12" borderId="28" xfId="0" applyNumberFormat="1" applyFill="1" applyBorder="1" applyAlignment="1">
      <alignment horizontal="center" vertical="center"/>
    </xf>
    <xf numFmtId="4" fontId="0" fillId="13" borderId="12" xfId="0" applyNumberFormat="1" applyFill="1" applyBorder="1" applyAlignment="1">
      <alignment horizontal="center" vertical="center"/>
    </xf>
    <xf numFmtId="4" fontId="0" fillId="13" borderId="28" xfId="0" applyNumberFormat="1" applyFill="1" applyBorder="1" applyAlignment="1">
      <alignment horizontal="center" vertical="center"/>
    </xf>
    <xf numFmtId="4" fontId="0" fillId="14" borderId="12" xfId="0" applyNumberFormat="1" applyFill="1" applyBorder="1" applyAlignment="1">
      <alignment horizontal="center" vertical="center"/>
    </xf>
    <xf numFmtId="4" fontId="0" fillId="9" borderId="12" xfId="0" applyNumberFormat="1" applyFill="1" applyBorder="1" applyAlignment="1">
      <alignment horizontal="center" vertical="center"/>
    </xf>
    <xf numFmtId="4" fontId="0" fillId="15" borderId="12" xfId="0" applyNumberFormat="1" applyFill="1" applyBorder="1" applyAlignment="1">
      <alignment horizontal="center" vertical="center"/>
    </xf>
    <xf numFmtId="4" fontId="0" fillId="9" borderId="26" xfId="0" applyNumberFormat="1" applyFill="1" applyBorder="1" applyAlignment="1">
      <alignment horizontal="center" vertical="center"/>
    </xf>
    <xf numFmtId="4" fontId="0" fillId="14" borderId="12" xfId="0" applyNumberFormat="1" applyFill="1" applyBorder="1" applyAlignment="1">
      <alignment horizontal="center" vertical="center" wrapText="1"/>
    </xf>
    <xf numFmtId="4" fontId="0" fillId="0" borderId="12" xfId="0" applyNumberFormat="1" applyBorder="1" applyAlignment="1">
      <alignment horizontal="center" vertical="center"/>
    </xf>
    <xf numFmtId="4" fontId="0" fillId="15" borderId="26" xfId="0" applyNumberFormat="1" applyFill="1" applyBorder="1" applyAlignment="1">
      <alignment horizontal="center" vertical="center"/>
    </xf>
    <xf numFmtId="4" fontId="0" fillId="14" borderId="28" xfId="0" applyNumberFormat="1" applyFill="1" applyBorder="1" applyAlignment="1">
      <alignment horizontal="center" vertical="center" wrapText="1"/>
    </xf>
    <xf numFmtId="0" fontId="0" fillId="12" borderId="48" xfId="0" applyFill="1" applyBorder="1" applyAlignment="1">
      <alignment horizontal="center" vertical="center" wrapText="1"/>
    </xf>
    <xf numFmtId="0" fontId="0" fillId="12" borderId="48" xfId="0" applyFill="1" applyBorder="1" applyAlignment="1">
      <alignment horizontal="center" vertical="center"/>
    </xf>
    <xf numFmtId="0" fontId="0" fillId="13" borderId="48" xfId="0" applyFill="1" applyBorder="1" applyAlignment="1">
      <alignment horizontal="center" vertical="center"/>
    </xf>
    <xf numFmtId="0" fontId="0" fillId="14" borderId="48" xfId="0" applyFill="1" applyBorder="1" applyAlignment="1">
      <alignment horizontal="center" vertical="center" wrapText="1"/>
    </xf>
    <xf numFmtId="0" fontId="0" fillId="14" borderId="48" xfId="0" applyFill="1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0" fontId="0" fillId="0" borderId="48" xfId="0" applyBorder="1" applyAlignment="1">
      <alignment vertical="center" wrapText="1"/>
    </xf>
    <xf numFmtId="0" fontId="0" fillId="0" borderId="48" xfId="0" applyBorder="1" applyAlignment="1">
      <alignment horizontal="center" vertical="center" wrapText="1"/>
    </xf>
    <xf numFmtId="4" fontId="0" fillId="0" borderId="48" xfId="0" applyNumberFormat="1" applyBorder="1" applyAlignment="1">
      <alignment horizontal="center" vertical="center"/>
    </xf>
    <xf numFmtId="4" fontId="0" fillId="0" borderId="65" xfId="0" applyNumberFormat="1" applyBorder="1" applyAlignment="1">
      <alignment horizontal="center" vertical="center"/>
    </xf>
    <xf numFmtId="0" fontId="0" fillId="12" borderId="14" xfId="0" applyFill="1" applyBorder="1" applyAlignment="1">
      <alignment horizontal="center" vertical="center" wrapText="1"/>
    </xf>
    <xf numFmtId="0" fontId="0" fillId="12" borderId="14" xfId="0" applyFill="1" applyBorder="1" applyAlignment="1">
      <alignment horizontal="center" vertical="center"/>
    </xf>
    <xf numFmtId="0" fontId="0" fillId="13" borderId="14" xfId="0" applyFill="1" applyBorder="1" applyAlignment="1">
      <alignment horizontal="center" vertical="center"/>
    </xf>
    <xf numFmtId="0" fontId="0" fillId="14" borderId="14" xfId="0" applyFill="1" applyBorder="1" applyAlignment="1">
      <alignment horizontal="center" vertical="center"/>
    </xf>
    <xf numFmtId="4" fontId="0" fillId="0" borderId="13" xfId="0" applyNumberFormat="1" applyBorder="1" applyAlignment="1">
      <alignment horizontal="center" vertical="center"/>
    </xf>
    <xf numFmtId="4" fontId="0" fillId="15" borderId="74" xfId="0" applyNumberFormat="1" applyFill="1" applyBorder="1" applyAlignment="1">
      <alignment horizontal="center" vertical="center"/>
    </xf>
    <xf numFmtId="4" fontId="17" fillId="7" borderId="54" xfId="0" applyNumberFormat="1" applyFont="1" applyFill="1" applyBorder="1" applyAlignment="1">
      <alignment horizontal="center" vertical="center"/>
    </xf>
    <xf numFmtId="4" fontId="20" fillId="8" borderId="63" xfId="0" applyNumberFormat="1" applyFont="1" applyFill="1" applyBorder="1" applyAlignment="1">
      <alignment horizontal="center" vertical="center"/>
    </xf>
    <xf numFmtId="0" fontId="3" fillId="19" borderId="54" xfId="0" applyFont="1" applyFill="1" applyBorder="1" applyAlignment="1">
      <alignment horizontal="left" vertical="center" wrapText="1"/>
    </xf>
    <xf numFmtId="0" fontId="2" fillId="23" borderId="54" xfId="0" applyFont="1" applyFill="1" applyBorder="1" applyAlignment="1">
      <alignment horizontal="left" vertical="center" wrapText="1"/>
    </xf>
    <xf numFmtId="0" fontId="18" fillId="19" borderId="54" xfId="0" applyFont="1" applyFill="1" applyBorder="1" applyAlignment="1">
      <alignment horizontal="left" vertical="center" wrapText="1"/>
    </xf>
    <xf numFmtId="0" fontId="1" fillId="19" borderId="54" xfId="0" applyFont="1" applyFill="1" applyBorder="1" applyAlignment="1">
      <alignment horizontal="left" vertical="center"/>
    </xf>
    <xf numFmtId="0" fontId="1" fillId="23" borderId="54" xfId="0" applyFont="1" applyFill="1" applyBorder="1" applyAlignment="1">
      <alignment horizontal="left" vertical="center" wrapText="1"/>
    </xf>
    <xf numFmtId="0" fontId="13" fillId="8" borderId="54" xfId="0" applyFont="1" applyFill="1" applyBorder="1" applyAlignment="1">
      <alignment horizontal="left" vertical="center" wrapText="1"/>
    </xf>
    <xf numFmtId="4" fontId="17" fillId="7" borderId="53" xfId="0" applyNumberFormat="1" applyFont="1" applyFill="1" applyBorder="1" applyAlignment="1">
      <alignment horizontal="center" vertical="center"/>
    </xf>
    <xf numFmtId="4" fontId="5" fillId="10" borderId="54" xfId="0" applyNumberFormat="1" applyFont="1" applyFill="1" applyBorder="1" applyAlignment="1">
      <alignment horizontal="center" vertical="center"/>
    </xf>
    <xf numFmtId="4" fontId="20" fillId="10" borderId="54" xfId="0" applyNumberFormat="1" applyFont="1" applyFill="1" applyBorder="1" applyAlignment="1">
      <alignment horizontal="center" vertical="center"/>
    </xf>
    <xf numFmtId="4" fontId="0" fillId="10" borderId="54" xfId="0" applyNumberFormat="1" applyFont="1" applyFill="1" applyBorder="1" applyAlignment="1">
      <alignment horizontal="center" vertical="center"/>
    </xf>
    <xf numFmtId="4" fontId="0" fillId="24" borderId="54" xfId="0" applyNumberFormat="1" applyFont="1" applyFill="1" applyBorder="1" applyAlignment="1">
      <alignment horizontal="center" vertical="center"/>
    </xf>
    <xf numFmtId="0" fontId="31" fillId="19" borderId="54" xfId="0" applyFont="1" applyFill="1" applyBorder="1" applyAlignment="1">
      <alignment horizontal="left" vertical="center" wrapText="1"/>
    </xf>
    <xf numFmtId="4" fontId="35" fillId="0" borderId="14" xfId="2" applyNumberFormat="1" applyFont="1" applyBorder="1"/>
    <xf numFmtId="0" fontId="13" fillId="8" borderId="54" xfId="0" applyFont="1" applyFill="1" applyBorder="1" applyAlignment="1">
      <alignment horizontal="center" vertical="center"/>
    </xf>
    <xf numFmtId="10" fontId="0" fillId="0" borderId="0" xfId="0" applyNumberFormat="1"/>
    <xf numFmtId="4" fontId="20" fillId="26" borderId="54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171" fontId="13" fillId="4" borderId="12" xfId="4" applyNumberFormat="1" applyFont="1" applyFill="1" applyBorder="1" applyAlignment="1">
      <alignment horizontal="center" vertical="center"/>
    </xf>
    <xf numFmtId="171" fontId="13" fillId="4" borderId="13" xfId="4" applyNumberFormat="1" applyFont="1" applyFill="1" applyBorder="1" applyAlignment="1">
      <alignment horizontal="center" vertical="center"/>
    </xf>
    <xf numFmtId="171" fontId="13" fillId="4" borderId="14" xfId="4" applyNumberFormat="1" applyFont="1" applyFill="1" applyBorder="1" applyAlignment="1">
      <alignment horizontal="center" vertical="center"/>
    </xf>
    <xf numFmtId="171" fontId="8" fillId="0" borderId="0" xfId="4" applyNumberFormat="1" applyFont="1" applyAlignment="1">
      <alignment horizontal="center"/>
    </xf>
    <xf numFmtId="171" fontId="15" fillId="5" borderId="12" xfId="4" applyNumberFormat="1" applyFont="1" applyFill="1" applyBorder="1" applyAlignment="1">
      <alignment horizontal="center"/>
    </xf>
    <xf numFmtId="0" fontId="38" fillId="0" borderId="0" xfId="2" applyFont="1"/>
    <xf numFmtId="10" fontId="6" fillId="0" borderId="12" xfId="3" applyNumberFormat="1" applyFont="1" applyBorder="1" applyAlignment="1"/>
    <xf numFmtId="10" fontId="6" fillId="0" borderId="12" xfId="3" applyNumberFormat="1" applyFont="1" applyBorder="1" applyAlignment="1">
      <alignment vertical="center"/>
    </xf>
    <xf numFmtId="4" fontId="39" fillId="14" borderId="12" xfId="0" applyNumberFormat="1" applyFont="1" applyFill="1" applyBorder="1" applyAlignment="1">
      <alignment horizontal="center" vertical="center" wrapText="1"/>
    </xf>
    <xf numFmtId="0" fontId="9" fillId="2" borderId="1" xfId="4" applyFont="1" applyFill="1" applyBorder="1" applyAlignment="1">
      <alignment horizontal="center" vertical="center" wrapText="1"/>
    </xf>
    <xf numFmtId="0" fontId="9" fillId="2" borderId="2" xfId="4" applyFont="1" applyFill="1" applyBorder="1" applyAlignment="1">
      <alignment horizontal="center" vertical="center" wrapText="1"/>
    </xf>
    <xf numFmtId="0" fontId="9" fillId="2" borderId="3" xfId="4" applyFont="1" applyFill="1" applyBorder="1" applyAlignment="1">
      <alignment horizontal="center" vertical="center" wrapText="1"/>
    </xf>
    <xf numFmtId="0" fontId="9" fillId="2" borderId="4" xfId="4" applyFont="1" applyFill="1" applyBorder="1" applyAlignment="1">
      <alignment horizontal="center" vertical="center" wrapText="1"/>
    </xf>
    <xf numFmtId="0" fontId="9" fillId="2" borderId="0" xfId="4" applyFont="1" applyFill="1" applyAlignment="1">
      <alignment horizontal="center" vertical="center" wrapText="1"/>
    </xf>
    <xf numFmtId="0" fontId="9" fillId="2" borderId="5" xfId="4" applyFont="1" applyFill="1" applyBorder="1" applyAlignment="1">
      <alignment horizontal="center" vertical="center" wrapText="1"/>
    </xf>
    <xf numFmtId="0" fontId="15" fillId="5" borderId="12" xfId="4" applyFont="1" applyFill="1" applyBorder="1" applyAlignment="1">
      <alignment horizontal="center"/>
    </xf>
    <xf numFmtId="0" fontId="1" fillId="0" borderId="20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12" borderId="13" xfId="0" applyFill="1" applyBorder="1" applyAlignment="1">
      <alignment horizontal="center" vertical="center" wrapText="1"/>
    </xf>
    <xf numFmtId="0" fontId="0" fillId="12" borderId="15" xfId="0" applyFill="1" applyBorder="1" applyAlignment="1">
      <alignment horizontal="center" vertical="center"/>
    </xf>
    <xf numFmtId="0" fontId="0" fillId="13" borderId="13" xfId="0" applyFill="1" applyBorder="1" applyAlignment="1">
      <alignment horizontal="center" vertical="center" wrapText="1"/>
    </xf>
    <xf numFmtId="0" fontId="0" fillId="13" borderId="15" xfId="0" applyFill="1" applyBorder="1" applyAlignment="1">
      <alignment horizontal="center" vertical="center" wrapText="1"/>
    </xf>
    <xf numFmtId="0" fontId="0" fillId="14" borderId="13" xfId="0" applyFill="1" applyBorder="1" applyAlignment="1">
      <alignment horizontal="center" vertical="center" wrapText="1"/>
    </xf>
    <xf numFmtId="0" fontId="0" fillId="14" borderId="15" xfId="0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21" fillId="0" borderId="70" xfId="0" applyFont="1" applyBorder="1" applyAlignment="1">
      <alignment horizontal="center" vertical="center"/>
    </xf>
    <xf numFmtId="0" fontId="21" fillId="0" borderId="71" xfId="0" applyFont="1" applyBorder="1" applyAlignment="1">
      <alignment horizontal="center" vertical="center"/>
    </xf>
    <xf numFmtId="0" fontId="21" fillId="0" borderId="72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/>
    </xf>
    <xf numFmtId="0" fontId="0" fillId="12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13" borderId="14" xfId="0" applyFill="1" applyBorder="1" applyAlignment="1">
      <alignment horizontal="center" vertical="center"/>
    </xf>
    <xf numFmtId="0" fontId="0" fillId="14" borderId="14" xfId="0" applyFill="1" applyBorder="1" applyAlignment="1">
      <alignment horizontal="center" vertical="center"/>
    </xf>
    <xf numFmtId="4" fontId="24" fillId="0" borderId="14" xfId="0" applyNumberFormat="1" applyFont="1" applyBorder="1" applyAlignment="1">
      <alignment horizontal="center" vertical="center" wrapText="1"/>
    </xf>
    <xf numFmtId="0" fontId="36" fillId="0" borderId="51" xfId="2" applyFont="1" applyBorder="1" applyAlignment="1">
      <alignment horizontal="center"/>
    </xf>
    <xf numFmtId="0" fontId="37" fillId="0" borderId="50" xfId="0" applyFont="1" applyBorder="1" applyAlignment="1"/>
    <xf numFmtId="0" fontId="17" fillId="16" borderId="12" xfId="3" applyFont="1" applyFill="1" applyBorder="1" applyAlignment="1">
      <alignment horizontal="center" vertical="center"/>
    </xf>
    <xf numFmtId="0" fontId="6" fillId="0" borderId="30" xfId="3" applyFont="1" applyBorder="1" applyAlignment="1">
      <alignment horizontal="justify" vertical="top" wrapText="1"/>
    </xf>
    <xf numFmtId="0" fontId="6" fillId="0" borderId="31" xfId="3" applyFont="1" applyBorder="1" applyAlignment="1">
      <alignment horizontal="justify" vertical="top" wrapText="1"/>
    </xf>
    <xf numFmtId="0" fontId="6" fillId="0" borderId="57" xfId="3" applyFont="1" applyBorder="1" applyAlignment="1">
      <alignment horizontal="left" wrapText="1"/>
    </xf>
    <xf numFmtId="0" fontId="6" fillId="0" borderId="75" xfId="3" applyFont="1" applyBorder="1" applyAlignment="1">
      <alignment horizontal="left" wrapText="1"/>
    </xf>
    <xf numFmtId="0" fontId="6" fillId="0" borderId="57" xfId="3" applyFont="1" applyBorder="1" applyAlignment="1">
      <alignment horizontal="left"/>
    </xf>
    <xf numFmtId="0" fontId="6" fillId="0" borderId="75" xfId="3" applyFont="1" applyBorder="1" applyAlignment="1">
      <alignment horizontal="left"/>
    </xf>
    <xf numFmtId="0" fontId="6" fillId="0" borderId="34" xfId="3" applyFont="1" applyBorder="1" applyAlignment="1">
      <alignment horizontal="justify" vertical="top" wrapText="1"/>
    </xf>
    <xf numFmtId="0" fontId="6" fillId="0" borderId="35" xfId="3" applyFont="1" applyBorder="1" applyAlignment="1">
      <alignment horizontal="justify" vertical="top" wrapText="1"/>
    </xf>
    <xf numFmtId="0" fontId="6" fillId="0" borderId="36" xfId="3" applyFont="1" applyBorder="1" applyAlignment="1">
      <alignment horizontal="justify" vertical="top" wrapText="1"/>
    </xf>
    <xf numFmtId="4" fontId="0" fillId="26" borderId="12" xfId="0" applyNumberFormat="1" applyFill="1" applyBorder="1" applyAlignment="1">
      <alignment horizontal="center" vertical="center"/>
    </xf>
  </cellXfs>
  <cellStyles count="8">
    <cellStyle name="Moeda" xfId="1" builtinId="4"/>
    <cellStyle name="Normal" xfId="0" builtinId="0"/>
    <cellStyle name="Normal 2" xfId="2" xr:uid="{00000000-0005-0000-0000-000002000000}"/>
    <cellStyle name="Normal 2 2" xfId="3" xr:uid="{00000000-0005-0000-0000-000003000000}"/>
    <cellStyle name="Normal 3" xfId="4" xr:uid="{00000000-0005-0000-0000-000004000000}"/>
    <cellStyle name="Porcentagem" xfId="7" builtinId="5"/>
    <cellStyle name="Porcentagem 2" xfId="5" xr:uid="{00000000-0005-0000-0000-000006000000}"/>
    <cellStyle name="Vírgula" xfId="6" builtinId="3"/>
  </cellStyles>
  <dxfs count="6">
    <dxf>
      <numFmt numFmtId="4" formatCode="#,##0.00"/>
    </dxf>
    <dxf>
      <numFmt numFmtId="4" formatCode="#,##0.00"/>
    </dxf>
    <dxf>
      <border outline="0">
        <left style="thin">
          <color theme="1"/>
        </left>
        <right style="thin">
          <color theme="1"/>
        </right>
        <top style="thin">
          <color theme="1"/>
        </top>
        <bottom style="hair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4" formatCode="#,##0.00"/>
      <fill>
        <patternFill patternType="solid">
          <fgColor indexed="51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fill>
        <patternFill patternType="solid">
          <fgColor theme="0" tint="-0.34998626667073579"/>
          <bgColor theme="0" tint="-0.34998626667073579"/>
        </patternFill>
      </fill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hair">
          <color auto="1"/>
        </vertical>
        <horizontal style="hair">
          <color auto="1"/>
        </horizontal>
      </border>
    </dxf>
  </dxfs>
  <tableStyles count="2" defaultTableStyle="TableStyleMedium2" defaultPivotStyle="PivotStyleLight16">
    <tableStyle name="Estilo de Tabela 1" pivot="0" count="0" xr9:uid="{00000000-0011-0000-FFFF-FFFF00000000}"/>
    <tableStyle name="Estilo de Tabela 2" pivot="0" count="1" xr9:uid="{00000000-0011-0000-FFFF-FFFF01000000}">
      <tableStyleElement type="wholeTable" dxfId="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a2" displayName="Tabela2" ref="A1:Q1531" totalsRowShown="0" headerRowDxfId="3" tableBorderDxfId="2">
  <autoFilter ref="A1:Q1531" xr:uid="{00000000-0009-0000-0100-000002000000}"/>
  <tableColumns count="17">
    <tableColumn id="1" xr3:uid="{00000000-0010-0000-0000-000001000000}" name="FONTE"/>
    <tableColumn id="2" xr3:uid="{00000000-0010-0000-0000-000002000000}" name="Coluna1"/>
    <tableColumn id="3" xr3:uid="{00000000-0010-0000-0000-000003000000}" name="COD."/>
    <tableColumn id="4" xr3:uid="{00000000-0010-0000-0000-000004000000}" name="ITEM"/>
    <tableColumn id="5" xr3:uid="{00000000-0010-0000-0000-000005000000}" name="DESCRIÇÃO DO SERVIÇO"/>
    <tableColumn id="6" xr3:uid="{00000000-0010-0000-0000-000006000000}" name="UNID."/>
    <tableColumn id="7" xr3:uid="{00000000-0010-0000-0000-000007000000}" name="COEF"/>
    <tableColumn id="8" xr3:uid="{00000000-0010-0000-0000-000008000000}" name="CUSTO INSUMO" dataDxfId="1"/>
    <tableColumn id="9" xr3:uid="{00000000-0010-0000-0000-000009000000}" name="QUANT. ESTIMADAS"/>
    <tableColumn id="10" xr3:uid="{00000000-0010-0000-0000-00000A000000}" name="MAT. UNITARIO"/>
    <tableColumn id="11" xr3:uid="{00000000-0010-0000-0000-00000B000000}" name="M.O. UNITÁRIO"/>
    <tableColumn id="12" xr3:uid="{00000000-0010-0000-0000-00000C000000}" name="TOTAL UNITÁRIO"/>
    <tableColumn id="13" xr3:uid="{00000000-0010-0000-0000-00000D000000}" name="MAT. TOTAL"/>
    <tableColumn id="14" xr3:uid="{00000000-0010-0000-0000-00000E000000}" name="M. O TOTAL"/>
    <tableColumn id="15" xr3:uid="{00000000-0010-0000-0000-00000F000000}" name="TOTAL"/>
    <tableColumn id="16" xr3:uid="{00000000-0010-0000-0000-000010000000}" name="25,66%"/>
    <tableColumn id="17" xr3:uid="{00000000-0010-0000-0000-000011000000}" name="TOTAL C/ BDI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4"/>
  <sheetViews>
    <sheetView topLeftCell="A19" zoomScale="90" workbookViewId="0">
      <selection activeCell="D4" sqref="D4"/>
    </sheetView>
  </sheetViews>
  <sheetFormatPr defaultRowHeight="18.75" x14ac:dyDescent="0.3"/>
  <cols>
    <col min="1" max="1" width="14.28515625" style="1" customWidth="1"/>
    <col min="2" max="2" width="55.42578125" style="1" customWidth="1"/>
    <col min="3" max="3" width="21.28515625" style="2" customWidth="1"/>
    <col min="4" max="4" width="10" style="3" customWidth="1"/>
    <col min="5" max="19" width="9.140625" style="1"/>
    <col min="20" max="20" width="24.42578125" style="1" customWidth="1"/>
    <col min="21" max="21" width="20.5703125" style="1" customWidth="1"/>
    <col min="22" max="241" width="9.140625" style="1"/>
    <col min="242" max="242" width="14.28515625" style="1" customWidth="1"/>
    <col min="243" max="243" width="62.28515625" style="1" bestFit="1" customWidth="1"/>
    <col min="244" max="244" width="16.42578125" style="1" bestFit="1" customWidth="1"/>
    <col min="245" max="245" width="11.140625" style="1" bestFit="1" customWidth="1"/>
    <col min="246" max="497" width="9.140625" style="1"/>
    <col min="498" max="498" width="14.28515625" style="1" customWidth="1"/>
    <col min="499" max="499" width="62.28515625" style="1" bestFit="1" customWidth="1"/>
    <col min="500" max="500" width="16.42578125" style="1" bestFit="1" customWidth="1"/>
    <col min="501" max="501" width="11.140625" style="1" bestFit="1" customWidth="1"/>
    <col min="502" max="753" width="9.140625" style="1"/>
    <col min="754" max="754" width="14.28515625" style="1" customWidth="1"/>
    <col min="755" max="755" width="62.28515625" style="1" bestFit="1" customWidth="1"/>
    <col min="756" max="756" width="16.42578125" style="1" bestFit="1" customWidth="1"/>
    <col min="757" max="757" width="11.140625" style="1" bestFit="1" customWidth="1"/>
    <col min="758" max="1009" width="9.140625" style="1"/>
    <col min="1010" max="1010" width="14.28515625" style="1" customWidth="1"/>
    <col min="1011" max="1011" width="62.28515625" style="1" bestFit="1" customWidth="1"/>
    <col min="1012" max="1012" width="16.42578125" style="1" bestFit="1" customWidth="1"/>
    <col min="1013" max="1013" width="11.140625" style="1" bestFit="1" customWidth="1"/>
    <col min="1014" max="1265" width="9.140625" style="1"/>
    <col min="1266" max="1266" width="14.28515625" style="1" customWidth="1"/>
    <col min="1267" max="1267" width="62.28515625" style="1" bestFit="1" customWidth="1"/>
    <col min="1268" max="1268" width="16.42578125" style="1" bestFit="1" customWidth="1"/>
    <col min="1269" max="1269" width="11.140625" style="1" bestFit="1" customWidth="1"/>
    <col min="1270" max="1521" width="9.140625" style="1"/>
    <col min="1522" max="1522" width="14.28515625" style="1" customWidth="1"/>
    <col min="1523" max="1523" width="62.28515625" style="1" bestFit="1" customWidth="1"/>
    <col min="1524" max="1524" width="16.42578125" style="1" bestFit="1" customWidth="1"/>
    <col min="1525" max="1525" width="11.140625" style="1" bestFit="1" customWidth="1"/>
    <col min="1526" max="1777" width="9.140625" style="1"/>
    <col min="1778" max="1778" width="14.28515625" style="1" customWidth="1"/>
    <col min="1779" max="1779" width="62.28515625" style="1" bestFit="1" customWidth="1"/>
    <col min="1780" max="1780" width="16.42578125" style="1" bestFit="1" customWidth="1"/>
    <col min="1781" max="1781" width="11.140625" style="1" bestFit="1" customWidth="1"/>
    <col min="1782" max="2033" width="9.140625" style="1"/>
    <col min="2034" max="2034" width="14.28515625" style="1" customWidth="1"/>
    <col min="2035" max="2035" width="62.28515625" style="1" bestFit="1" customWidth="1"/>
    <col min="2036" max="2036" width="16.42578125" style="1" bestFit="1" customWidth="1"/>
    <col min="2037" max="2037" width="11.140625" style="1" bestFit="1" customWidth="1"/>
    <col min="2038" max="2289" width="9.140625" style="1"/>
    <col min="2290" max="2290" width="14.28515625" style="1" customWidth="1"/>
    <col min="2291" max="2291" width="62.28515625" style="1" bestFit="1" customWidth="1"/>
    <col min="2292" max="2292" width="16.42578125" style="1" bestFit="1" customWidth="1"/>
    <col min="2293" max="2293" width="11.140625" style="1" bestFit="1" customWidth="1"/>
    <col min="2294" max="2545" width="9.140625" style="1"/>
    <col min="2546" max="2546" width="14.28515625" style="1" customWidth="1"/>
    <col min="2547" max="2547" width="62.28515625" style="1" bestFit="1" customWidth="1"/>
    <col min="2548" max="2548" width="16.42578125" style="1" bestFit="1" customWidth="1"/>
    <col min="2549" max="2549" width="11.140625" style="1" bestFit="1" customWidth="1"/>
    <col min="2550" max="2801" width="9.140625" style="1"/>
    <col min="2802" max="2802" width="14.28515625" style="1" customWidth="1"/>
    <col min="2803" max="2803" width="62.28515625" style="1" bestFit="1" customWidth="1"/>
    <col min="2804" max="2804" width="16.42578125" style="1" bestFit="1" customWidth="1"/>
    <col min="2805" max="2805" width="11.140625" style="1" bestFit="1" customWidth="1"/>
    <col min="2806" max="3057" width="9.140625" style="1"/>
    <col min="3058" max="3058" width="14.28515625" style="1" customWidth="1"/>
    <col min="3059" max="3059" width="62.28515625" style="1" bestFit="1" customWidth="1"/>
    <col min="3060" max="3060" width="16.42578125" style="1" bestFit="1" customWidth="1"/>
    <col min="3061" max="3061" width="11.140625" style="1" bestFit="1" customWidth="1"/>
    <col min="3062" max="3313" width="9.140625" style="1"/>
    <col min="3314" max="3314" width="14.28515625" style="1" customWidth="1"/>
    <col min="3315" max="3315" width="62.28515625" style="1" bestFit="1" customWidth="1"/>
    <col min="3316" max="3316" width="16.42578125" style="1" bestFit="1" customWidth="1"/>
    <col min="3317" max="3317" width="11.140625" style="1" bestFit="1" customWidth="1"/>
    <col min="3318" max="3569" width="9.140625" style="1"/>
    <col min="3570" max="3570" width="14.28515625" style="1" customWidth="1"/>
    <col min="3571" max="3571" width="62.28515625" style="1" bestFit="1" customWidth="1"/>
    <col min="3572" max="3572" width="16.42578125" style="1" bestFit="1" customWidth="1"/>
    <col min="3573" max="3573" width="11.140625" style="1" bestFit="1" customWidth="1"/>
    <col min="3574" max="3825" width="9.140625" style="1"/>
    <col min="3826" max="3826" width="14.28515625" style="1" customWidth="1"/>
    <col min="3827" max="3827" width="62.28515625" style="1" bestFit="1" customWidth="1"/>
    <col min="3828" max="3828" width="16.42578125" style="1" bestFit="1" customWidth="1"/>
    <col min="3829" max="3829" width="11.140625" style="1" bestFit="1" customWidth="1"/>
    <col min="3830" max="4081" width="9.140625" style="1"/>
    <col min="4082" max="4082" width="14.28515625" style="1" customWidth="1"/>
    <col min="4083" max="4083" width="62.28515625" style="1" bestFit="1" customWidth="1"/>
    <col min="4084" max="4084" width="16.42578125" style="1" bestFit="1" customWidth="1"/>
    <col min="4085" max="4085" width="11.140625" style="1" bestFit="1" customWidth="1"/>
    <col min="4086" max="4337" width="9.140625" style="1"/>
    <col min="4338" max="4338" width="14.28515625" style="1" customWidth="1"/>
    <col min="4339" max="4339" width="62.28515625" style="1" bestFit="1" customWidth="1"/>
    <col min="4340" max="4340" width="16.42578125" style="1" bestFit="1" customWidth="1"/>
    <col min="4341" max="4341" width="11.140625" style="1" bestFit="1" customWidth="1"/>
    <col min="4342" max="4593" width="9.140625" style="1"/>
    <col min="4594" max="4594" width="14.28515625" style="1" customWidth="1"/>
    <col min="4595" max="4595" width="62.28515625" style="1" bestFit="1" customWidth="1"/>
    <col min="4596" max="4596" width="16.42578125" style="1" bestFit="1" customWidth="1"/>
    <col min="4597" max="4597" width="11.140625" style="1" bestFit="1" customWidth="1"/>
    <col min="4598" max="4849" width="9.140625" style="1"/>
    <col min="4850" max="4850" width="14.28515625" style="1" customWidth="1"/>
    <col min="4851" max="4851" width="62.28515625" style="1" bestFit="1" customWidth="1"/>
    <col min="4852" max="4852" width="16.42578125" style="1" bestFit="1" customWidth="1"/>
    <col min="4853" max="4853" width="11.140625" style="1" bestFit="1" customWidth="1"/>
    <col min="4854" max="5105" width="9.140625" style="1"/>
    <col min="5106" max="5106" width="14.28515625" style="1" customWidth="1"/>
    <col min="5107" max="5107" width="62.28515625" style="1" bestFit="1" customWidth="1"/>
    <col min="5108" max="5108" width="16.42578125" style="1" bestFit="1" customWidth="1"/>
    <col min="5109" max="5109" width="11.140625" style="1" bestFit="1" customWidth="1"/>
    <col min="5110" max="5361" width="9.140625" style="1"/>
    <col min="5362" max="5362" width="14.28515625" style="1" customWidth="1"/>
    <col min="5363" max="5363" width="62.28515625" style="1" bestFit="1" customWidth="1"/>
    <col min="5364" max="5364" width="16.42578125" style="1" bestFit="1" customWidth="1"/>
    <col min="5365" max="5365" width="11.140625" style="1" bestFit="1" customWidth="1"/>
    <col min="5366" max="5617" width="9.140625" style="1"/>
    <col min="5618" max="5618" width="14.28515625" style="1" customWidth="1"/>
    <col min="5619" max="5619" width="62.28515625" style="1" bestFit="1" customWidth="1"/>
    <col min="5620" max="5620" width="16.42578125" style="1" bestFit="1" customWidth="1"/>
    <col min="5621" max="5621" width="11.140625" style="1" bestFit="1" customWidth="1"/>
    <col min="5622" max="5873" width="9.140625" style="1"/>
    <col min="5874" max="5874" width="14.28515625" style="1" customWidth="1"/>
    <col min="5875" max="5875" width="62.28515625" style="1" bestFit="1" customWidth="1"/>
    <col min="5876" max="5876" width="16.42578125" style="1" bestFit="1" customWidth="1"/>
    <col min="5877" max="5877" width="11.140625" style="1" bestFit="1" customWidth="1"/>
    <col min="5878" max="6129" width="9.140625" style="1"/>
    <col min="6130" max="6130" width="14.28515625" style="1" customWidth="1"/>
    <col min="6131" max="6131" width="62.28515625" style="1" bestFit="1" customWidth="1"/>
    <col min="6132" max="6132" width="16.42578125" style="1" bestFit="1" customWidth="1"/>
    <col min="6133" max="6133" width="11.140625" style="1" bestFit="1" customWidth="1"/>
    <col min="6134" max="6385" width="9.140625" style="1"/>
    <col min="6386" max="6386" width="14.28515625" style="1" customWidth="1"/>
    <col min="6387" max="6387" width="62.28515625" style="1" bestFit="1" customWidth="1"/>
    <col min="6388" max="6388" width="16.42578125" style="1" bestFit="1" customWidth="1"/>
    <col min="6389" max="6389" width="11.140625" style="1" bestFit="1" customWidth="1"/>
    <col min="6390" max="6641" width="9.140625" style="1"/>
    <col min="6642" max="6642" width="14.28515625" style="1" customWidth="1"/>
    <col min="6643" max="6643" width="62.28515625" style="1" bestFit="1" customWidth="1"/>
    <col min="6644" max="6644" width="16.42578125" style="1" bestFit="1" customWidth="1"/>
    <col min="6645" max="6645" width="11.140625" style="1" bestFit="1" customWidth="1"/>
    <col min="6646" max="6897" width="9.140625" style="1"/>
    <col min="6898" max="6898" width="14.28515625" style="1" customWidth="1"/>
    <col min="6899" max="6899" width="62.28515625" style="1" bestFit="1" customWidth="1"/>
    <col min="6900" max="6900" width="16.42578125" style="1" bestFit="1" customWidth="1"/>
    <col min="6901" max="6901" width="11.140625" style="1" bestFit="1" customWidth="1"/>
    <col min="6902" max="7153" width="9.140625" style="1"/>
    <col min="7154" max="7154" width="14.28515625" style="1" customWidth="1"/>
    <col min="7155" max="7155" width="62.28515625" style="1" bestFit="1" customWidth="1"/>
    <col min="7156" max="7156" width="16.42578125" style="1" bestFit="1" customWidth="1"/>
    <col min="7157" max="7157" width="11.140625" style="1" bestFit="1" customWidth="1"/>
    <col min="7158" max="7409" width="9.140625" style="1"/>
    <col min="7410" max="7410" width="14.28515625" style="1" customWidth="1"/>
    <col min="7411" max="7411" width="62.28515625" style="1" bestFit="1" customWidth="1"/>
    <col min="7412" max="7412" width="16.42578125" style="1" bestFit="1" customWidth="1"/>
    <col min="7413" max="7413" width="11.140625" style="1" bestFit="1" customWidth="1"/>
    <col min="7414" max="7665" width="9.140625" style="1"/>
    <col min="7666" max="7666" width="14.28515625" style="1" customWidth="1"/>
    <col min="7667" max="7667" width="62.28515625" style="1" bestFit="1" customWidth="1"/>
    <col min="7668" max="7668" width="16.42578125" style="1" bestFit="1" customWidth="1"/>
    <col min="7669" max="7669" width="11.140625" style="1" bestFit="1" customWidth="1"/>
    <col min="7670" max="7921" width="9.140625" style="1"/>
    <col min="7922" max="7922" width="14.28515625" style="1" customWidth="1"/>
    <col min="7923" max="7923" width="62.28515625" style="1" bestFit="1" customWidth="1"/>
    <col min="7924" max="7924" width="16.42578125" style="1" bestFit="1" customWidth="1"/>
    <col min="7925" max="7925" width="11.140625" style="1" bestFit="1" customWidth="1"/>
    <col min="7926" max="8177" width="9.140625" style="1"/>
    <col min="8178" max="8178" width="14.28515625" style="1" customWidth="1"/>
    <col min="8179" max="8179" width="62.28515625" style="1" bestFit="1" customWidth="1"/>
    <col min="8180" max="8180" width="16.42578125" style="1" bestFit="1" customWidth="1"/>
    <col min="8181" max="8181" width="11.140625" style="1" bestFit="1" customWidth="1"/>
    <col min="8182" max="8433" width="9.140625" style="1"/>
    <col min="8434" max="8434" width="14.28515625" style="1" customWidth="1"/>
    <col min="8435" max="8435" width="62.28515625" style="1" bestFit="1" customWidth="1"/>
    <col min="8436" max="8436" width="16.42578125" style="1" bestFit="1" customWidth="1"/>
    <col min="8437" max="8437" width="11.140625" style="1" bestFit="1" customWidth="1"/>
    <col min="8438" max="8689" width="9.140625" style="1"/>
    <col min="8690" max="8690" width="14.28515625" style="1" customWidth="1"/>
    <col min="8691" max="8691" width="62.28515625" style="1" bestFit="1" customWidth="1"/>
    <col min="8692" max="8692" width="16.42578125" style="1" bestFit="1" customWidth="1"/>
    <col min="8693" max="8693" width="11.140625" style="1" bestFit="1" customWidth="1"/>
    <col min="8694" max="8945" width="9.140625" style="1"/>
    <col min="8946" max="8946" width="14.28515625" style="1" customWidth="1"/>
    <col min="8947" max="8947" width="62.28515625" style="1" bestFit="1" customWidth="1"/>
    <col min="8948" max="8948" width="16.42578125" style="1" bestFit="1" customWidth="1"/>
    <col min="8949" max="8949" width="11.140625" style="1" bestFit="1" customWidth="1"/>
    <col min="8950" max="9201" width="9.140625" style="1"/>
    <col min="9202" max="9202" width="14.28515625" style="1" customWidth="1"/>
    <col min="9203" max="9203" width="62.28515625" style="1" bestFit="1" customWidth="1"/>
    <col min="9204" max="9204" width="16.42578125" style="1" bestFit="1" customWidth="1"/>
    <col min="9205" max="9205" width="11.140625" style="1" bestFit="1" customWidth="1"/>
    <col min="9206" max="9457" width="9.140625" style="1"/>
    <col min="9458" max="9458" width="14.28515625" style="1" customWidth="1"/>
    <col min="9459" max="9459" width="62.28515625" style="1" bestFit="1" customWidth="1"/>
    <col min="9460" max="9460" width="16.42578125" style="1" bestFit="1" customWidth="1"/>
    <col min="9461" max="9461" width="11.140625" style="1" bestFit="1" customWidth="1"/>
    <col min="9462" max="9713" width="9.140625" style="1"/>
    <col min="9714" max="9714" width="14.28515625" style="1" customWidth="1"/>
    <col min="9715" max="9715" width="62.28515625" style="1" bestFit="1" customWidth="1"/>
    <col min="9716" max="9716" width="16.42578125" style="1" bestFit="1" customWidth="1"/>
    <col min="9717" max="9717" width="11.140625" style="1" bestFit="1" customWidth="1"/>
    <col min="9718" max="9969" width="9.140625" style="1"/>
    <col min="9970" max="9970" width="14.28515625" style="1" customWidth="1"/>
    <col min="9971" max="9971" width="62.28515625" style="1" bestFit="1" customWidth="1"/>
    <col min="9972" max="9972" width="16.42578125" style="1" bestFit="1" customWidth="1"/>
    <col min="9973" max="9973" width="11.140625" style="1" bestFit="1" customWidth="1"/>
    <col min="9974" max="10225" width="9.140625" style="1"/>
    <col min="10226" max="10226" width="14.28515625" style="1" customWidth="1"/>
    <col min="10227" max="10227" width="62.28515625" style="1" bestFit="1" customWidth="1"/>
    <col min="10228" max="10228" width="16.42578125" style="1" bestFit="1" customWidth="1"/>
    <col min="10229" max="10229" width="11.140625" style="1" bestFit="1" customWidth="1"/>
    <col min="10230" max="10481" width="9.140625" style="1"/>
    <col min="10482" max="10482" width="14.28515625" style="1" customWidth="1"/>
    <col min="10483" max="10483" width="62.28515625" style="1" bestFit="1" customWidth="1"/>
    <col min="10484" max="10484" width="16.42578125" style="1" bestFit="1" customWidth="1"/>
    <col min="10485" max="10485" width="11.140625" style="1" bestFit="1" customWidth="1"/>
    <col min="10486" max="10737" width="9.140625" style="1"/>
    <col min="10738" max="10738" width="14.28515625" style="1" customWidth="1"/>
    <col min="10739" max="10739" width="62.28515625" style="1" bestFit="1" customWidth="1"/>
    <col min="10740" max="10740" width="16.42578125" style="1" bestFit="1" customWidth="1"/>
    <col min="10741" max="10741" width="11.140625" style="1" bestFit="1" customWidth="1"/>
    <col min="10742" max="10993" width="9.140625" style="1"/>
    <col min="10994" max="10994" width="14.28515625" style="1" customWidth="1"/>
    <col min="10995" max="10995" width="62.28515625" style="1" bestFit="1" customWidth="1"/>
    <col min="10996" max="10996" width="16.42578125" style="1" bestFit="1" customWidth="1"/>
    <col min="10997" max="10997" width="11.140625" style="1" bestFit="1" customWidth="1"/>
    <col min="10998" max="11249" width="9.140625" style="1"/>
    <col min="11250" max="11250" width="14.28515625" style="1" customWidth="1"/>
    <col min="11251" max="11251" width="62.28515625" style="1" bestFit="1" customWidth="1"/>
    <col min="11252" max="11252" width="16.42578125" style="1" bestFit="1" customWidth="1"/>
    <col min="11253" max="11253" width="11.140625" style="1" bestFit="1" customWidth="1"/>
    <col min="11254" max="11505" width="9.140625" style="1"/>
    <col min="11506" max="11506" width="14.28515625" style="1" customWidth="1"/>
    <col min="11507" max="11507" width="62.28515625" style="1" bestFit="1" customWidth="1"/>
    <col min="11508" max="11508" width="16.42578125" style="1" bestFit="1" customWidth="1"/>
    <col min="11509" max="11509" width="11.140625" style="1" bestFit="1" customWidth="1"/>
    <col min="11510" max="11761" width="9.140625" style="1"/>
    <col min="11762" max="11762" width="14.28515625" style="1" customWidth="1"/>
    <col min="11763" max="11763" width="62.28515625" style="1" bestFit="1" customWidth="1"/>
    <col min="11764" max="11764" width="16.42578125" style="1" bestFit="1" customWidth="1"/>
    <col min="11765" max="11765" width="11.140625" style="1" bestFit="1" customWidth="1"/>
    <col min="11766" max="12017" width="9.140625" style="1"/>
    <col min="12018" max="12018" width="14.28515625" style="1" customWidth="1"/>
    <col min="12019" max="12019" width="62.28515625" style="1" bestFit="1" customWidth="1"/>
    <col min="12020" max="12020" width="16.42578125" style="1" bestFit="1" customWidth="1"/>
    <col min="12021" max="12021" width="11.140625" style="1" bestFit="1" customWidth="1"/>
    <col min="12022" max="12273" width="9.140625" style="1"/>
    <col min="12274" max="12274" width="14.28515625" style="1" customWidth="1"/>
    <col min="12275" max="12275" width="62.28515625" style="1" bestFit="1" customWidth="1"/>
    <col min="12276" max="12276" width="16.42578125" style="1" bestFit="1" customWidth="1"/>
    <col min="12277" max="12277" width="11.140625" style="1" bestFit="1" customWidth="1"/>
    <col min="12278" max="12529" width="9.140625" style="1"/>
    <col min="12530" max="12530" width="14.28515625" style="1" customWidth="1"/>
    <col min="12531" max="12531" width="62.28515625" style="1" bestFit="1" customWidth="1"/>
    <col min="12532" max="12532" width="16.42578125" style="1" bestFit="1" customWidth="1"/>
    <col min="12533" max="12533" width="11.140625" style="1" bestFit="1" customWidth="1"/>
    <col min="12534" max="12785" width="9.140625" style="1"/>
    <col min="12786" max="12786" width="14.28515625" style="1" customWidth="1"/>
    <col min="12787" max="12787" width="62.28515625" style="1" bestFit="1" customWidth="1"/>
    <col min="12788" max="12788" width="16.42578125" style="1" bestFit="1" customWidth="1"/>
    <col min="12789" max="12789" width="11.140625" style="1" bestFit="1" customWidth="1"/>
    <col min="12790" max="13041" width="9.140625" style="1"/>
    <col min="13042" max="13042" width="14.28515625" style="1" customWidth="1"/>
    <col min="13043" max="13043" width="62.28515625" style="1" bestFit="1" customWidth="1"/>
    <col min="13044" max="13044" width="16.42578125" style="1" bestFit="1" customWidth="1"/>
    <col min="13045" max="13045" width="11.140625" style="1" bestFit="1" customWidth="1"/>
    <col min="13046" max="13297" width="9.140625" style="1"/>
    <col min="13298" max="13298" width="14.28515625" style="1" customWidth="1"/>
    <col min="13299" max="13299" width="62.28515625" style="1" bestFit="1" customWidth="1"/>
    <col min="13300" max="13300" width="16.42578125" style="1" bestFit="1" customWidth="1"/>
    <col min="13301" max="13301" width="11.140625" style="1" bestFit="1" customWidth="1"/>
    <col min="13302" max="13553" width="9.140625" style="1"/>
    <col min="13554" max="13554" width="14.28515625" style="1" customWidth="1"/>
    <col min="13555" max="13555" width="62.28515625" style="1" bestFit="1" customWidth="1"/>
    <col min="13556" max="13556" width="16.42578125" style="1" bestFit="1" customWidth="1"/>
    <col min="13557" max="13557" width="11.140625" style="1" bestFit="1" customWidth="1"/>
    <col min="13558" max="13809" width="9.140625" style="1"/>
    <col min="13810" max="13810" width="14.28515625" style="1" customWidth="1"/>
    <col min="13811" max="13811" width="62.28515625" style="1" bestFit="1" customWidth="1"/>
    <col min="13812" max="13812" width="16.42578125" style="1" bestFit="1" customWidth="1"/>
    <col min="13813" max="13813" width="11.140625" style="1" bestFit="1" customWidth="1"/>
    <col min="13814" max="14065" width="9.140625" style="1"/>
    <col min="14066" max="14066" width="14.28515625" style="1" customWidth="1"/>
    <col min="14067" max="14067" width="62.28515625" style="1" bestFit="1" customWidth="1"/>
    <col min="14068" max="14068" width="16.42578125" style="1" bestFit="1" customWidth="1"/>
    <col min="14069" max="14069" width="11.140625" style="1" bestFit="1" customWidth="1"/>
    <col min="14070" max="14321" width="9.140625" style="1"/>
    <col min="14322" max="14322" width="14.28515625" style="1" customWidth="1"/>
    <col min="14323" max="14323" width="62.28515625" style="1" bestFit="1" customWidth="1"/>
    <col min="14324" max="14324" width="16.42578125" style="1" bestFit="1" customWidth="1"/>
    <col min="14325" max="14325" width="11.140625" style="1" bestFit="1" customWidth="1"/>
    <col min="14326" max="14577" width="9.140625" style="1"/>
    <col min="14578" max="14578" width="14.28515625" style="1" customWidth="1"/>
    <col min="14579" max="14579" width="62.28515625" style="1" bestFit="1" customWidth="1"/>
    <col min="14580" max="14580" width="16.42578125" style="1" bestFit="1" customWidth="1"/>
    <col min="14581" max="14581" width="11.140625" style="1" bestFit="1" customWidth="1"/>
    <col min="14582" max="14833" width="9.140625" style="1"/>
    <col min="14834" max="14834" width="14.28515625" style="1" customWidth="1"/>
    <col min="14835" max="14835" width="62.28515625" style="1" bestFit="1" customWidth="1"/>
    <col min="14836" max="14836" width="16.42578125" style="1" bestFit="1" customWidth="1"/>
    <col min="14837" max="14837" width="11.140625" style="1" bestFit="1" customWidth="1"/>
    <col min="14838" max="15089" width="9.140625" style="1"/>
    <col min="15090" max="15090" width="14.28515625" style="1" customWidth="1"/>
    <col min="15091" max="15091" width="62.28515625" style="1" bestFit="1" customWidth="1"/>
    <col min="15092" max="15092" width="16.42578125" style="1" bestFit="1" customWidth="1"/>
    <col min="15093" max="15093" width="11.140625" style="1" bestFit="1" customWidth="1"/>
    <col min="15094" max="15345" width="9.140625" style="1"/>
    <col min="15346" max="15346" width="14.28515625" style="1" customWidth="1"/>
    <col min="15347" max="15347" width="62.28515625" style="1" bestFit="1" customWidth="1"/>
    <col min="15348" max="15348" width="16.42578125" style="1" bestFit="1" customWidth="1"/>
    <col min="15349" max="15349" width="11.140625" style="1" bestFit="1" customWidth="1"/>
    <col min="15350" max="15601" width="9.140625" style="1"/>
    <col min="15602" max="15602" width="14.28515625" style="1" customWidth="1"/>
    <col min="15603" max="15603" width="62.28515625" style="1" bestFit="1" customWidth="1"/>
    <col min="15604" max="15604" width="16.42578125" style="1" bestFit="1" customWidth="1"/>
    <col min="15605" max="15605" width="11.140625" style="1" bestFit="1" customWidth="1"/>
    <col min="15606" max="15857" width="9.140625" style="1"/>
    <col min="15858" max="15858" width="14.28515625" style="1" customWidth="1"/>
    <col min="15859" max="15859" width="62.28515625" style="1" bestFit="1" customWidth="1"/>
    <col min="15860" max="15860" width="16.42578125" style="1" bestFit="1" customWidth="1"/>
    <col min="15861" max="15861" width="11.140625" style="1" bestFit="1" customWidth="1"/>
    <col min="15862" max="16113" width="9.140625" style="1"/>
    <col min="16114" max="16114" width="14.28515625" style="1" customWidth="1"/>
    <col min="16115" max="16115" width="62.28515625" style="1" bestFit="1" customWidth="1"/>
    <col min="16116" max="16116" width="16.42578125" style="1" bestFit="1" customWidth="1"/>
    <col min="16117" max="16117" width="11.140625" style="1" bestFit="1" customWidth="1"/>
    <col min="16118" max="16366" width="9.140625" style="1"/>
    <col min="16367" max="16381" width="9.140625" style="1" customWidth="1"/>
    <col min="16382" max="16384" width="9.140625" style="1"/>
  </cols>
  <sheetData>
    <row r="1" spans="1:4" ht="39" customHeight="1" x14ac:dyDescent="0.25">
      <c r="A1" s="358" t="s">
        <v>0</v>
      </c>
      <c r="B1" s="359"/>
      <c r="C1" s="359"/>
      <c r="D1" s="360"/>
    </row>
    <row r="2" spans="1:4" ht="18.75" customHeight="1" x14ac:dyDescent="0.25">
      <c r="A2" s="361"/>
      <c r="B2" s="362"/>
      <c r="C2" s="362"/>
      <c r="D2" s="363"/>
    </row>
    <row r="3" spans="1:4" ht="25.5" customHeight="1" x14ac:dyDescent="0.25">
      <c r="A3" s="4"/>
      <c r="B3" s="5" t="s">
        <v>1214</v>
      </c>
      <c r="C3" s="6" t="s">
        <v>1</v>
      </c>
      <c r="D3" s="7">
        <v>44440</v>
      </c>
    </row>
    <row r="4" spans="1:4" ht="15" customHeight="1" x14ac:dyDescent="0.25">
      <c r="A4" s="8"/>
      <c r="B4" s="9"/>
      <c r="C4" s="10" t="s">
        <v>2</v>
      </c>
      <c r="D4" s="11">
        <f>'BDI SERVIÇOS'!$B$23</f>
        <v>0.25659617074200125</v>
      </c>
    </row>
    <row r="5" spans="1:4" ht="14.25" customHeight="1" x14ac:dyDescent="0.3">
      <c r="B5" s="12"/>
    </row>
    <row r="6" spans="1:4" ht="25.5" customHeight="1" x14ac:dyDescent="0.25">
      <c r="A6" s="13" t="s">
        <v>3</v>
      </c>
      <c r="B6" s="14" t="s">
        <v>4</v>
      </c>
      <c r="C6" s="15" t="s">
        <v>5</v>
      </c>
      <c r="D6" s="16" t="s">
        <v>6</v>
      </c>
    </row>
    <row r="7" spans="1:4" ht="12.75" customHeight="1" x14ac:dyDescent="0.3">
      <c r="B7" s="12"/>
    </row>
    <row r="8" spans="1:4" ht="28.5" customHeight="1" x14ac:dyDescent="0.25">
      <c r="A8" s="17">
        <f>'PLANILHA ANALÍTICA'!$D$2</f>
        <v>1</v>
      </c>
      <c r="B8" s="18" t="str">
        <f>'PLANILHA ANALÍTICA'!$E$2</f>
        <v xml:space="preserve">DEMOLIÇÕES </v>
      </c>
      <c r="C8" s="349">
        <f>'PLANILHA ANALÍTICA'!$Q$2</f>
        <v>1392.4345240146981</v>
      </c>
      <c r="D8" s="19">
        <f t="shared" ref="D8:D31" si="0">C8/$C$33</f>
        <v>1.7405431550183724E-2</v>
      </c>
    </row>
    <row r="9" spans="1:4" ht="28.5" customHeight="1" x14ac:dyDescent="0.25">
      <c r="A9" s="20">
        <f>'PLANILHA ANALÍTICA'!$D$64</f>
        <v>2</v>
      </c>
      <c r="B9" s="18" t="str">
        <f>'PLANILHA ANALÍTICA'!$E$64</f>
        <v>PAREDES E PAINEIS</v>
      </c>
      <c r="C9" s="349">
        <f>'PLANILHA ANALÍTICA'!$Q$64</f>
        <v>689.70236907847584</v>
      </c>
      <c r="D9" s="19">
        <f t="shared" si="0"/>
        <v>8.6212796134809457E-3</v>
      </c>
    </row>
    <row r="10" spans="1:4" ht="28.5" customHeight="1" x14ac:dyDescent="0.25">
      <c r="A10" s="20">
        <f>'PLANILHA ANALÍTICA'!$D$109</f>
        <v>3</v>
      </c>
      <c r="B10" s="18" t="str">
        <f>'PLANILHA ANALÍTICA'!$E$109</f>
        <v>REVESTIMENTOS</v>
      </c>
      <c r="C10" s="349">
        <f>'PLANILHA ANALÍTICA'!$Q$109</f>
        <v>199.35962977650439</v>
      </c>
      <c r="D10" s="19">
        <f t="shared" si="0"/>
        <v>2.4919953722063043E-3</v>
      </c>
    </row>
    <row r="11" spans="1:4" ht="28.5" customHeight="1" x14ac:dyDescent="0.25">
      <c r="A11" s="20">
        <f>'PLANILHA ANALÍTICA'!$D$156</f>
        <v>4</v>
      </c>
      <c r="B11" s="18" t="str">
        <f>'PLANILHA ANALÍTICA'!$E$156</f>
        <v>FORROS</v>
      </c>
      <c r="C11" s="349">
        <f>'PLANILHA ANALÍTICA'!$Q$156</f>
        <v>308.10032938946409</v>
      </c>
      <c r="D11" s="19">
        <f t="shared" si="0"/>
        <v>3.8512541173683005E-3</v>
      </c>
    </row>
    <row r="12" spans="1:4" ht="28.5" customHeight="1" x14ac:dyDescent="0.25">
      <c r="A12" s="20">
        <f>'PLANILHA ANALÍTICA'!$D$198</f>
        <v>5</v>
      </c>
      <c r="B12" s="18" t="str">
        <f>'PLANILHA ANALÍTICA'!$E$198</f>
        <v>PISOS INTERNOS</v>
      </c>
      <c r="C12" s="349">
        <f>'PLANILHA ANALÍTICA'!$Q$198</f>
        <v>522.40595265260708</v>
      </c>
      <c r="D12" s="19">
        <f t="shared" si="0"/>
        <v>6.530074408157587E-3</v>
      </c>
    </row>
    <row r="13" spans="1:4" ht="28.5" customHeight="1" x14ac:dyDescent="0.25">
      <c r="A13" s="20">
        <f>'PLANILHA ANALÍTICA'!$D$255</f>
        <v>6</v>
      </c>
      <c r="B13" s="18" t="str">
        <f>'PLANILHA ANALÍTICA'!$E$255</f>
        <v>PISOS EXTERNOS</v>
      </c>
      <c r="C13" s="349">
        <f>'PLANILHA ANALÍTICA'!$Q$255</f>
        <v>515.58845762881469</v>
      </c>
      <c r="D13" s="19">
        <f t="shared" si="0"/>
        <v>6.4448557203601823E-3</v>
      </c>
    </row>
    <row r="14" spans="1:4" ht="28.5" customHeight="1" x14ac:dyDescent="0.25">
      <c r="A14" s="20">
        <f>'PLANILHA ANALÍTICA'!$D$280</f>
        <v>7</v>
      </c>
      <c r="B14" s="18" t="str">
        <f>'PLANILHA ANALÍTICA'!$E$280</f>
        <v>COBERTURAS/ESTRUTURAS METÁLICAS E DE MADEIRA</v>
      </c>
      <c r="C14" s="349">
        <f>'PLANILHA ANALÍTICA'!$Q$280</f>
        <v>3562.6469607039867</v>
      </c>
      <c r="D14" s="19">
        <f t="shared" si="0"/>
        <v>4.4533087008799828E-2</v>
      </c>
    </row>
    <row r="15" spans="1:4" ht="28.5" customHeight="1" x14ac:dyDescent="0.25">
      <c r="A15" s="20">
        <f>'PLANILHA ANALÍTICA'!$D$380</f>
        <v>8</v>
      </c>
      <c r="B15" s="18" t="str">
        <f>'PLANILHA ANALÍTICA'!$E$380</f>
        <v>IMPERMEABILIZAÇÃO</v>
      </c>
      <c r="C15" s="349">
        <f>'PLANILHA ANALÍTICA'!$Q$380</f>
        <v>234.44555772422311</v>
      </c>
      <c r="D15" s="19">
        <f t="shared" si="0"/>
        <v>2.9305694715527882E-3</v>
      </c>
    </row>
    <row r="16" spans="1:4" ht="28.5" customHeight="1" x14ac:dyDescent="0.25">
      <c r="A16" s="20">
        <f>'PLANILHA ANALÍTICA'!$D$414</f>
        <v>9</v>
      </c>
      <c r="B16" s="18" t="str">
        <f>'PLANILHA ANALÍTICA'!$E$414</f>
        <v>ESQUADRIAS</v>
      </c>
      <c r="C16" s="349">
        <f>'PLANILHA ANALÍTICA'!$Q$414</f>
        <v>21573.108509446658</v>
      </c>
      <c r="D16" s="19">
        <f t="shared" si="0"/>
        <v>0.26966385636808315</v>
      </c>
    </row>
    <row r="17" spans="1:4" ht="28.5" customHeight="1" x14ac:dyDescent="0.25">
      <c r="A17" s="20">
        <f>'PLANILHA ANALÍTICA'!$D$514</f>
        <v>10</v>
      </c>
      <c r="B17" s="18" t="str">
        <f>'PLANILHA ANALÍTICA'!$E$514</f>
        <v>INSTALAÇÕES HIDROSSANITÁRIAS</v>
      </c>
      <c r="C17" s="349">
        <f>'PLANILHA ANALÍTICA'!$Q$514</f>
        <v>6057.3646626572463</v>
      </c>
      <c r="D17" s="19">
        <f t="shared" si="0"/>
        <v>7.5717058283215566E-2</v>
      </c>
    </row>
    <row r="18" spans="1:4" ht="28.5" customHeight="1" x14ac:dyDescent="0.25">
      <c r="A18" s="20">
        <f>'PLANILHA ANALÍTICA'!$D$702</f>
        <v>11</v>
      </c>
      <c r="B18" s="18" t="str">
        <f>'PLANILHA ANALÍTICA'!$E$702</f>
        <v>PINTURAS</v>
      </c>
      <c r="C18" s="349">
        <f>'PLANILHA ANALÍTICA'!$Q$702</f>
        <v>194.20590410461165</v>
      </c>
      <c r="D18" s="19">
        <f t="shared" si="0"/>
        <v>2.4275738013076449E-3</v>
      </c>
    </row>
    <row r="19" spans="1:4" ht="28.5" customHeight="1" x14ac:dyDescent="0.25">
      <c r="A19" s="20">
        <f>'PLANILHA ANALÍTICA'!$D$764</f>
        <v>12</v>
      </c>
      <c r="B19" s="18" t="str">
        <f>'PLANILHA ANALÍTICA'!$E$764</f>
        <v>AR CONDICIONADO E EXAUSTÃO</v>
      </c>
      <c r="C19" s="349">
        <f>'PLANILHA ANALÍTICA'!$Q$764</f>
        <v>8745.4310776374223</v>
      </c>
      <c r="D19" s="19">
        <f t="shared" si="0"/>
        <v>0.10931788847046776</v>
      </c>
    </row>
    <row r="20" spans="1:4" ht="28.5" customHeight="1" x14ac:dyDescent="0.25">
      <c r="A20" s="76">
        <f>'PLANILHA ANALÍTICA'!$D$806</f>
        <v>13</v>
      </c>
      <c r="B20" s="77" t="str">
        <f>'PLANILHA ANALÍTICA'!$E$806</f>
        <v>SERVIÇOS COMPLEMENTARES E MÃO DE OBRA - CIVIL</v>
      </c>
      <c r="C20" s="350">
        <f>'PLANILHA ANALÍTICA'!$Q$806</f>
        <v>15.988716331975995</v>
      </c>
      <c r="D20" s="78">
        <f t="shared" si="0"/>
        <v>1.9985895414969989E-4</v>
      </c>
    </row>
    <row r="21" spans="1:4" ht="28.5" customHeight="1" x14ac:dyDescent="0.25">
      <c r="A21" s="79">
        <f>'PLANILHA ANALÍTICA'!D822</f>
        <v>14</v>
      </c>
      <c r="B21" s="80" t="str">
        <f>'PLANILHA ANALÍTICA'!E822</f>
        <v>MATERIAL ELÉTRICO</v>
      </c>
      <c r="C21" s="351">
        <f>'PLANILHA ANALÍTICA'!Q822</f>
        <v>1492.4920935</v>
      </c>
      <c r="D21" s="81">
        <f t="shared" si="0"/>
        <v>1.8656151168749996E-2</v>
      </c>
    </row>
    <row r="22" spans="1:4" ht="28.5" customHeight="1" x14ac:dyDescent="0.25">
      <c r="A22" s="79">
        <f>'PLANILHA ANALÍTICA'!D994</f>
        <v>15</v>
      </c>
      <c r="B22" s="82" t="str">
        <f>'PLANILHA ANALÍTICA'!E994</f>
        <v>INFRA-ESTRUTURA EM DUTO DE ALUMÍNIO - DUTOTEC</v>
      </c>
      <c r="C22" s="351">
        <f>'PLANILHA ANALÍTICA'!Q994</f>
        <v>2168.3512620000001</v>
      </c>
      <c r="D22" s="81">
        <f t="shared" si="0"/>
        <v>2.7104390774999997E-2</v>
      </c>
    </row>
    <row r="23" spans="1:4" ht="28.5" customHeight="1" x14ac:dyDescent="0.25">
      <c r="A23" s="79">
        <f>'PLANILHA ANALÍTICA'!D1029</f>
        <v>16</v>
      </c>
      <c r="B23" s="82" t="str">
        <f>'PLANILHA ANALÍTICA'!E1029</f>
        <v>INTERRUPTORES E TOMADAS</v>
      </c>
      <c r="C23" s="351">
        <f>'PLANILHA ANALÍTICA'!Q1029</f>
        <v>695.21394999999995</v>
      </c>
      <c r="D23" s="81">
        <f t="shared" si="0"/>
        <v>8.6901743749999982E-3</v>
      </c>
    </row>
    <row r="24" spans="1:4" ht="28.5" customHeight="1" x14ac:dyDescent="0.25">
      <c r="A24" s="79">
        <f>'PLANILHA ANALÍTICA'!D1136</f>
        <v>17</v>
      </c>
      <c r="B24" s="82" t="str">
        <f>'PLANILHA ANALÍTICA'!E1136</f>
        <v>CONDUTORES</v>
      </c>
      <c r="C24" s="351">
        <f>'PLANILHA ANALÍTICA'!Q1136</f>
        <v>489.57462715999998</v>
      </c>
      <c r="D24" s="81">
        <f t="shared" si="0"/>
        <v>6.1196828394999986E-3</v>
      </c>
    </row>
    <row r="25" spans="1:4" ht="28.5" customHeight="1" x14ac:dyDescent="0.25">
      <c r="A25" s="79">
        <f>'PLANILHA ANALÍTICA'!D1233</f>
        <v>18</v>
      </c>
      <c r="B25" s="82" t="str">
        <f>'PLANILHA ANALÍTICA'!E1233</f>
        <v>ENTRADAS DE ENERGIA</v>
      </c>
      <c r="C25" s="351">
        <f>'PLANILHA ANALÍTICA'!Q1233</f>
        <v>1199.8519440000002</v>
      </c>
      <c r="D25" s="81">
        <f t="shared" si="0"/>
        <v>1.4998149299999999E-2</v>
      </c>
    </row>
    <row r="26" spans="1:4" ht="28.5" customHeight="1" x14ac:dyDescent="0.25">
      <c r="A26" s="79">
        <f>'PLANILHA ANALÍTICA'!D1259</f>
        <v>19</v>
      </c>
      <c r="B26" s="82" t="str">
        <f>'PLANILHA ANALÍTICA'!E1259</f>
        <v xml:space="preserve">QUADROS ELÉTRICOS </v>
      </c>
      <c r="C26" s="351">
        <f>'PLANILHA ANALÍTICA'!Q1259</f>
        <v>6957.3920880000005</v>
      </c>
      <c r="D26" s="81">
        <f t="shared" si="0"/>
        <v>8.6967401099999994E-2</v>
      </c>
    </row>
    <row r="27" spans="1:4" ht="28.5" customHeight="1" x14ac:dyDescent="0.25">
      <c r="A27" s="79">
        <f>'PLANILHA ANALÍTICA'!D1279</f>
        <v>20</v>
      </c>
      <c r="B27" s="82" t="str">
        <f>'PLANILHA ANALÍTICA'!E1279</f>
        <v>DISJUNTORES</v>
      </c>
      <c r="C27" s="351">
        <f>'PLANILHA ANALÍTICA'!Q1279</f>
        <v>13393.257478</v>
      </c>
      <c r="D27" s="81">
        <f t="shared" si="0"/>
        <v>0.16741571847499997</v>
      </c>
    </row>
    <row r="28" spans="1:4" ht="28.5" customHeight="1" x14ac:dyDescent="0.25">
      <c r="A28" s="79">
        <f>'PLANILHA ANALÍTICA'!D1372</f>
        <v>21</v>
      </c>
      <c r="B28" s="80" t="str">
        <f>'PLANILHA ANALÍTICA'!E1372</f>
        <v>COMANDO E AUTOMAÇÃO</v>
      </c>
      <c r="C28" s="351">
        <f>'PLANILHA ANALÍTICA'!Q1372</f>
        <v>2278.4168559999998</v>
      </c>
      <c r="D28" s="81">
        <f t="shared" si="0"/>
        <v>2.8480210699999994E-2</v>
      </c>
    </row>
    <row r="29" spans="1:4" ht="28.5" customHeight="1" x14ac:dyDescent="0.25">
      <c r="A29" s="79">
        <f>'PLANILHA ANALÍTICA'!D1411</f>
        <v>22</v>
      </c>
      <c r="B29" s="80" t="str">
        <f>'PLANILHA ANALÍTICA'!E1411</f>
        <v>ILUMINAÇÃO / LÂMPADAS, REATORES E LUMINÁRIAS</v>
      </c>
      <c r="C29" s="351">
        <f>'PLANILHA ANALÍTICA'!Q1411</f>
        <v>1295.077092</v>
      </c>
      <c r="D29" s="81">
        <f t="shared" si="0"/>
        <v>1.6188463649999998E-2</v>
      </c>
    </row>
    <row r="30" spans="1:4" ht="28.5" customHeight="1" x14ac:dyDescent="0.25">
      <c r="A30" s="79">
        <f>'PLANILHA ANALÍTICA'!D1475</f>
        <v>23</v>
      </c>
      <c r="B30" s="80" t="str">
        <f>'PLANILHA ANALÍTICA'!E1475</f>
        <v>CABEAMENTO ESTRUTURADO e TELEFONIA</v>
      </c>
      <c r="C30" s="351">
        <f>'PLANILHA ANALÍTICA'!Q1475</f>
        <v>5578.9757341933318</v>
      </c>
      <c r="D30" s="81">
        <f t="shared" si="0"/>
        <v>6.9737196677416638E-2</v>
      </c>
    </row>
    <row r="31" spans="1:4" ht="28.5" customHeight="1" x14ac:dyDescent="0.25">
      <c r="A31" s="79">
        <f>'PLANILHA ANALÍTICA'!D1525</f>
        <v>24</v>
      </c>
      <c r="B31" s="83" t="str">
        <f>'PLANILHA ANALÍTICA'!E1525</f>
        <v>SERVIÇOS COMPLEMENTARES - LÓGICA E ELÉTRICA</v>
      </c>
      <c r="C31" s="351">
        <f>'PLANILHA ANALÍTICA'!Q1525</f>
        <v>440.61422399999998</v>
      </c>
      <c r="D31" s="81">
        <f t="shared" si="0"/>
        <v>5.5076777999999984E-3</v>
      </c>
    </row>
    <row r="32" spans="1:4" ht="12.75" customHeight="1" x14ac:dyDescent="0.3">
      <c r="B32" s="12"/>
      <c r="C32" s="352"/>
    </row>
    <row r="33" spans="1:4" x14ac:dyDescent="0.3">
      <c r="A33" s="364" t="s">
        <v>19</v>
      </c>
      <c r="B33" s="364"/>
      <c r="C33" s="353">
        <f>SUM(C8:C32)</f>
        <v>80000.000000000015</v>
      </c>
      <c r="D33" s="21">
        <v>1</v>
      </c>
    </row>
    <row r="34" spans="1:4" ht="34.5" customHeight="1" x14ac:dyDescent="0.3"/>
  </sheetData>
  <mergeCells count="2">
    <mergeCell ref="A1:D2"/>
    <mergeCell ref="A33:B3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1">
    <pageSetUpPr fitToPage="1"/>
  </sheetPr>
  <dimension ref="A1:R1535"/>
  <sheetViews>
    <sheetView zoomScaleNormal="100" workbookViewId="0">
      <selection activeCell="I4" sqref="I4"/>
    </sheetView>
  </sheetViews>
  <sheetFormatPr defaultRowHeight="15" x14ac:dyDescent="0.25"/>
  <cols>
    <col min="1" max="1" width="16.5703125" customWidth="1"/>
    <col min="2" max="2" width="14.28515625" customWidth="1"/>
    <col min="3" max="3" width="19.28515625" style="22" customWidth="1"/>
    <col min="4" max="4" width="12.85546875" style="22" customWidth="1"/>
    <col min="5" max="5" width="78.5703125" style="23" customWidth="1"/>
    <col min="6" max="6" width="12.85546875" style="22" customWidth="1"/>
    <col min="7" max="7" width="12.85546875" style="24" customWidth="1"/>
    <col min="8" max="8" width="20" style="24" customWidth="1"/>
    <col min="9" max="9" width="24.85546875" style="24" customWidth="1"/>
    <col min="10" max="10" width="19.85546875" style="24" customWidth="1"/>
    <col min="11" max="11" width="19" style="24" customWidth="1"/>
    <col min="12" max="12" width="21.5703125" style="24" customWidth="1"/>
    <col min="13" max="13" width="21.28515625" style="24" customWidth="1"/>
    <col min="14" max="14" width="16.28515625" style="24" customWidth="1"/>
    <col min="15" max="15" width="20.85546875" style="24" customWidth="1"/>
    <col min="16" max="16" width="15.140625" style="24" customWidth="1"/>
    <col min="17" max="17" width="28.140625" style="24" customWidth="1"/>
    <col min="18" max="18" width="16.140625" customWidth="1"/>
  </cols>
  <sheetData>
    <row r="1" spans="1:18" s="25" customFormat="1" ht="15.75" x14ac:dyDescent="0.25">
      <c r="A1" s="139" t="s">
        <v>7</v>
      </c>
      <c r="B1" s="140" t="s">
        <v>1162</v>
      </c>
      <c r="C1" s="140" t="s">
        <v>8</v>
      </c>
      <c r="D1" s="129" t="s">
        <v>3</v>
      </c>
      <c r="E1" s="141" t="s">
        <v>9</v>
      </c>
      <c r="F1" s="129" t="s">
        <v>10</v>
      </c>
      <c r="G1" s="130" t="s">
        <v>11</v>
      </c>
      <c r="H1" s="131" t="s">
        <v>12</v>
      </c>
      <c r="I1" s="130" t="s">
        <v>13</v>
      </c>
      <c r="J1" s="130" t="s">
        <v>14</v>
      </c>
      <c r="K1" s="130" t="s">
        <v>15</v>
      </c>
      <c r="L1" s="130" t="s">
        <v>16</v>
      </c>
      <c r="M1" s="130" t="s">
        <v>17</v>
      </c>
      <c r="N1" s="130" t="s">
        <v>18</v>
      </c>
      <c r="O1" s="130" t="s">
        <v>19</v>
      </c>
      <c r="P1" s="270" t="s">
        <v>1216</v>
      </c>
      <c r="Q1" s="131" t="s">
        <v>20</v>
      </c>
      <c r="R1" s="270">
        <f>'BDI SERVIÇOS'!B23</f>
        <v>0.25659617074200125</v>
      </c>
    </row>
    <row r="2" spans="1:18" s="25" customFormat="1" ht="15.75" x14ac:dyDescent="0.25">
      <c r="A2" s="132"/>
      <c r="B2" s="87"/>
      <c r="C2" s="87"/>
      <c r="D2" s="87">
        <v>1</v>
      </c>
      <c r="E2" s="88" t="s">
        <v>21</v>
      </c>
      <c r="F2" s="87"/>
      <c r="G2" s="87"/>
      <c r="H2" s="338"/>
      <c r="I2" s="87"/>
      <c r="J2" s="87"/>
      <c r="K2" s="87"/>
      <c r="L2" s="87"/>
      <c r="M2" s="87"/>
      <c r="N2" s="87"/>
      <c r="O2" s="87"/>
      <c r="P2" s="87"/>
      <c r="Q2" s="338">
        <f>SUM(Q4:Q62)</f>
        <v>1392.4345240146981</v>
      </c>
    </row>
    <row r="3" spans="1:18" s="189" customFormat="1" ht="15.75" x14ac:dyDescent="0.25">
      <c r="A3" s="183"/>
      <c r="B3" s="184"/>
      <c r="C3" s="184"/>
      <c r="D3" s="185"/>
      <c r="E3" s="186" t="s">
        <v>23</v>
      </c>
      <c r="F3" s="185"/>
      <c r="G3" s="187"/>
      <c r="H3" s="188"/>
      <c r="I3" s="187"/>
      <c r="J3" s="187"/>
      <c r="K3" s="187"/>
      <c r="L3" s="187"/>
      <c r="M3" s="187"/>
      <c r="N3" s="187"/>
      <c r="O3" s="187"/>
      <c r="P3" s="188"/>
      <c r="Q3" s="188"/>
      <c r="R3" s="348"/>
    </row>
    <row r="4" spans="1:18" s="25" customFormat="1" ht="30" x14ac:dyDescent="0.25">
      <c r="A4" s="142" t="s">
        <v>22</v>
      </c>
      <c r="B4" s="143"/>
      <c r="C4" s="143">
        <v>97633</v>
      </c>
      <c r="D4" s="143" t="s">
        <v>24</v>
      </c>
      <c r="E4" s="144" t="s">
        <v>25</v>
      </c>
      <c r="F4" s="143" t="s">
        <v>26</v>
      </c>
      <c r="G4" s="145"/>
      <c r="H4" s="146"/>
      <c r="I4" s="347">
        <v>3.3821937473457733</v>
      </c>
      <c r="J4" s="146">
        <f>SUM(J5:J6)</f>
        <v>6.0103609166999989</v>
      </c>
      <c r="K4" s="146">
        <f>SUM(K5:K6)</f>
        <v>13.815718083299998</v>
      </c>
      <c r="L4" s="146">
        <f>J4+K4</f>
        <v>19.826078999999996</v>
      </c>
      <c r="M4" s="146">
        <f>J4*I4</f>
        <v>20.328205111754148</v>
      </c>
      <c r="N4" s="146">
        <f>K4*I4</f>
        <v>46.727435316429187</v>
      </c>
      <c r="O4" s="146">
        <f>M4+N4</f>
        <v>67.055640428183338</v>
      </c>
      <c r="P4" s="146">
        <f>O4*$P$1</f>
        <v>17.206477333871845</v>
      </c>
      <c r="Q4" s="146">
        <f>P4+O4</f>
        <v>84.262117762055183</v>
      </c>
      <c r="R4" s="348"/>
    </row>
    <row r="5" spans="1:18" s="25" customFormat="1" x14ac:dyDescent="0.25">
      <c r="A5" s="196" t="s">
        <v>22</v>
      </c>
      <c r="B5" s="197" t="s">
        <v>27</v>
      </c>
      <c r="C5" s="197">
        <v>88256</v>
      </c>
      <c r="D5" s="197"/>
      <c r="E5" s="198" t="s">
        <v>28</v>
      </c>
      <c r="F5" s="197" t="s">
        <v>29</v>
      </c>
      <c r="G5" s="199">
        <v>0.25530000000000003</v>
      </c>
      <c r="H5" s="199">
        <v>24.43</v>
      </c>
      <c r="I5" s="199" t="str">
        <f>IF(Tabela2[[#This Row],[ITEM]]=0,"",IF(Tabela2[[#This Row],[UNID.]]=0,"",IF(Tabela2[[#This Row],[UNID.]]="un.",1,$R$4)))</f>
        <v/>
      </c>
      <c r="J5" s="199">
        <f>0.2573*H5*G5</f>
        <v>1.6047746967000001</v>
      </c>
      <c r="K5" s="199">
        <f>0.7427*H5*G5</f>
        <v>4.6322043033000009</v>
      </c>
      <c r="L5" s="199"/>
      <c r="M5" s="199"/>
      <c r="N5" s="199"/>
      <c r="O5" s="199"/>
      <c r="P5" s="199"/>
      <c r="Q5" s="199"/>
    </row>
    <row r="6" spans="1:18" s="25" customFormat="1" x14ac:dyDescent="0.25">
      <c r="A6" s="200" t="s">
        <v>22</v>
      </c>
      <c r="B6" s="201" t="s">
        <v>27</v>
      </c>
      <c r="C6" s="201">
        <v>88316</v>
      </c>
      <c r="D6" s="201"/>
      <c r="E6" s="202" t="s">
        <v>30</v>
      </c>
      <c r="F6" s="201" t="s">
        <v>29</v>
      </c>
      <c r="G6" s="203">
        <v>0.71899999999999997</v>
      </c>
      <c r="H6" s="203">
        <v>18.899999999999999</v>
      </c>
      <c r="I6" s="203" t="str">
        <f>IF(Tabela2[[#This Row],[ITEM]]=0,"",IF(Tabela2[[#This Row],[UNID.]]=0,"",IF(Tabela2[[#This Row],[UNID.]]="un.",1,$R$4)))</f>
        <v/>
      </c>
      <c r="J6" s="203">
        <f>0.3242*H6*G6</f>
        <v>4.4055862199999991</v>
      </c>
      <c r="K6" s="203">
        <f>0.6758*H6*G6</f>
        <v>9.1835137799999984</v>
      </c>
      <c r="L6" s="203"/>
      <c r="M6" s="203"/>
      <c r="N6" s="203"/>
      <c r="O6" s="203"/>
      <c r="P6" s="203"/>
      <c r="Q6" s="203"/>
    </row>
    <row r="7" spans="1:18" s="189" customFormat="1" x14ac:dyDescent="0.25">
      <c r="A7" s="159"/>
      <c r="B7" s="160"/>
      <c r="C7" s="160"/>
      <c r="D7" s="160"/>
      <c r="E7" s="161"/>
      <c r="F7" s="160"/>
      <c r="G7" s="162"/>
      <c r="H7" s="162"/>
      <c r="I7" s="162" t="str">
        <f>IF(Tabela2[[#This Row],[ITEM]]=0,"",IF(Tabela2[[#This Row],[UNID.]]=0,"",IF(Tabela2[[#This Row],[UNID.]]="un.",1,$R$4)))</f>
        <v/>
      </c>
      <c r="J7" s="162"/>
      <c r="K7" s="162"/>
      <c r="L7" s="162"/>
      <c r="M7" s="162"/>
      <c r="N7" s="162"/>
      <c r="O7" s="162"/>
      <c r="P7" s="162"/>
      <c r="Q7" s="162"/>
    </row>
    <row r="8" spans="1:18" s="25" customFormat="1" x14ac:dyDescent="0.25">
      <c r="A8" s="142" t="s">
        <v>22</v>
      </c>
      <c r="B8" s="143"/>
      <c r="C8" s="143">
        <v>97643</v>
      </c>
      <c r="D8" s="143" t="s">
        <v>31</v>
      </c>
      <c r="E8" s="147" t="s">
        <v>32</v>
      </c>
      <c r="F8" s="143" t="s">
        <v>33</v>
      </c>
      <c r="G8" s="145"/>
      <c r="H8" s="146"/>
      <c r="I8" s="146">
        <v>0.67</v>
      </c>
      <c r="J8" s="146">
        <f>SUM(J9:J10)</f>
        <v>6.3796601147999992</v>
      </c>
      <c r="K8" s="146">
        <f>SUM(K9:K10)</f>
        <v>15.129586006499999</v>
      </c>
      <c r="L8" s="146">
        <f>J8+K8</f>
        <v>21.509246121299999</v>
      </c>
      <c r="M8" s="146">
        <f>J8*I8</f>
        <v>4.274372276916</v>
      </c>
      <c r="N8" s="146">
        <f>K8*I8</f>
        <v>10.136822624355</v>
      </c>
      <c r="O8" s="146">
        <f>M8+N8</f>
        <v>14.411194901270999</v>
      </c>
      <c r="P8" s="146">
        <f>O8*$P$1</f>
        <v>3.6979126116661383</v>
      </c>
      <c r="Q8" s="146">
        <f>P8+O8</f>
        <v>18.109107512937136</v>
      </c>
    </row>
    <row r="9" spans="1:18" s="25" customFormat="1" x14ac:dyDescent="0.25">
      <c r="A9" s="196" t="s">
        <v>22</v>
      </c>
      <c r="B9" s="197" t="s">
        <v>27</v>
      </c>
      <c r="C9" s="197">
        <v>88262</v>
      </c>
      <c r="D9" s="197"/>
      <c r="E9" s="198" t="s">
        <v>34</v>
      </c>
      <c r="F9" s="197" t="s">
        <v>29</v>
      </c>
      <c r="G9" s="199">
        <v>0.3503</v>
      </c>
      <c r="H9" s="199">
        <v>24.29</v>
      </c>
      <c r="I9" s="199" t="s">
        <v>1193</v>
      </c>
      <c r="J9" s="199">
        <f>H9*G9*0.2544</f>
        <v>2.1646354128</v>
      </c>
      <c r="K9" s="199">
        <f>0.7455*H9*G9</f>
        <v>6.3433007085000011</v>
      </c>
      <c r="L9" s="199"/>
      <c r="M9" s="199"/>
      <c r="N9" s="199"/>
      <c r="O9" s="199"/>
      <c r="P9" s="199"/>
      <c r="Q9" s="199"/>
    </row>
    <row r="10" spans="1:18" s="25" customFormat="1" x14ac:dyDescent="0.25">
      <c r="A10" s="200" t="s">
        <v>22</v>
      </c>
      <c r="B10" s="201" t="s">
        <v>27</v>
      </c>
      <c r="C10" s="201">
        <v>88316</v>
      </c>
      <c r="D10" s="201"/>
      <c r="E10" s="202" t="s">
        <v>30</v>
      </c>
      <c r="F10" s="201" t="s">
        <v>29</v>
      </c>
      <c r="G10" s="203">
        <v>0.68789999999999996</v>
      </c>
      <c r="H10" s="203">
        <v>18.899999999999999</v>
      </c>
      <c r="I10" s="203" t="s">
        <v>1193</v>
      </c>
      <c r="J10" s="203">
        <f>0.3242*H10*G10</f>
        <v>4.2150247019999991</v>
      </c>
      <c r="K10" s="203">
        <f>0.6758*H10*G10</f>
        <v>8.7862852979999975</v>
      </c>
      <c r="L10" s="203"/>
      <c r="M10" s="203"/>
      <c r="N10" s="203"/>
      <c r="O10" s="203"/>
      <c r="P10" s="203"/>
      <c r="Q10" s="203"/>
    </row>
    <row r="11" spans="1:18" s="189" customFormat="1" x14ac:dyDescent="0.25">
      <c r="A11" s="159"/>
      <c r="B11" s="160"/>
      <c r="C11" s="160"/>
      <c r="D11" s="160"/>
      <c r="E11" s="161"/>
      <c r="F11" s="160"/>
      <c r="G11" s="162"/>
      <c r="H11" s="162"/>
      <c r="I11" s="162" t="s">
        <v>1193</v>
      </c>
      <c r="J11" s="162"/>
      <c r="K11" s="162"/>
      <c r="L11" s="162"/>
      <c r="M11" s="162"/>
      <c r="N11" s="162"/>
      <c r="O11" s="162"/>
      <c r="P11" s="162"/>
      <c r="Q11" s="162"/>
      <c r="R11" s="25"/>
    </row>
    <row r="12" spans="1:18" s="25" customFormat="1" x14ac:dyDescent="0.25">
      <c r="A12" s="142" t="s">
        <v>35</v>
      </c>
      <c r="B12" s="143"/>
      <c r="C12" s="148" t="s">
        <v>36</v>
      </c>
      <c r="D12" s="143" t="s">
        <v>37</v>
      </c>
      <c r="E12" s="144" t="s">
        <v>38</v>
      </c>
      <c r="F12" s="143" t="s">
        <v>39</v>
      </c>
      <c r="G12" s="145"/>
      <c r="H12" s="146"/>
      <c r="I12" s="146">
        <v>0.67</v>
      </c>
      <c r="J12" s="146">
        <f>SUM(J13:J14)</f>
        <v>3.3700589999999999</v>
      </c>
      <c r="K12" s="146">
        <f>SUM(K13)</f>
        <v>7.0249409999999992</v>
      </c>
      <c r="L12" s="146">
        <f>J12+K12</f>
        <v>10.395</v>
      </c>
      <c r="M12" s="146">
        <f>J12*I12</f>
        <v>2.2579395300000002</v>
      </c>
      <c r="N12" s="146">
        <f>K12*I12</f>
        <v>4.70671047</v>
      </c>
      <c r="O12" s="146">
        <f>M12+N12</f>
        <v>6.9646500000000007</v>
      </c>
      <c r="P12" s="146">
        <f>O12*$P$1</f>
        <v>1.7871291900000001</v>
      </c>
      <c r="Q12" s="146">
        <f>P12+O12</f>
        <v>8.7517791900000006</v>
      </c>
    </row>
    <row r="13" spans="1:18" s="25" customFormat="1" x14ac:dyDescent="0.25">
      <c r="A13" s="196" t="s">
        <v>22</v>
      </c>
      <c r="B13" s="197" t="s">
        <v>27</v>
      </c>
      <c r="C13" s="197">
        <v>88316</v>
      </c>
      <c r="D13" s="197"/>
      <c r="E13" s="198" t="s">
        <v>30</v>
      </c>
      <c r="F13" s="197" t="s">
        <v>29</v>
      </c>
      <c r="G13" s="199">
        <v>0.55000000000000004</v>
      </c>
      <c r="H13" s="203">
        <v>18.899999999999999</v>
      </c>
      <c r="I13" s="199" t="s">
        <v>1193</v>
      </c>
      <c r="J13" s="199">
        <f>0.3242*H13*G13</f>
        <v>3.3700589999999999</v>
      </c>
      <c r="K13" s="199">
        <f>0.6758*H13*G13</f>
        <v>7.0249409999999992</v>
      </c>
      <c r="L13" s="199"/>
      <c r="M13" s="199"/>
      <c r="N13" s="199"/>
      <c r="O13" s="199"/>
      <c r="P13" s="199"/>
      <c r="Q13" s="199"/>
    </row>
    <row r="14" spans="1:18" s="189" customFormat="1" x14ac:dyDescent="0.25">
      <c r="A14" s="163"/>
      <c r="B14" s="101"/>
      <c r="C14" s="101"/>
      <c r="D14" s="101"/>
      <c r="E14" s="102"/>
      <c r="F14" s="101"/>
      <c r="G14" s="96"/>
      <c r="H14" s="96"/>
      <c r="I14" s="96" t="s">
        <v>1193</v>
      </c>
      <c r="J14" s="96"/>
      <c r="K14" s="96"/>
      <c r="L14" s="96"/>
      <c r="M14" s="96"/>
      <c r="N14" s="96"/>
      <c r="O14" s="96"/>
      <c r="P14" s="96"/>
      <c r="Q14" s="96"/>
      <c r="R14" s="25"/>
    </row>
    <row r="15" spans="1:18" s="189" customFormat="1" ht="15.75" x14ac:dyDescent="0.25">
      <c r="A15" s="183"/>
      <c r="B15" s="184"/>
      <c r="C15" s="184"/>
      <c r="D15" s="185"/>
      <c r="E15" s="186" t="s">
        <v>40</v>
      </c>
      <c r="F15" s="185"/>
      <c r="G15" s="187"/>
      <c r="H15" s="188"/>
      <c r="I15" s="187" t="s">
        <v>1193</v>
      </c>
      <c r="J15" s="187"/>
      <c r="K15" s="187"/>
      <c r="L15" s="187"/>
      <c r="M15" s="187"/>
      <c r="N15" s="187"/>
      <c r="O15" s="187"/>
      <c r="P15" s="188"/>
      <c r="Q15" s="188"/>
      <c r="R15" s="25"/>
    </row>
    <row r="16" spans="1:18" s="25" customFormat="1" ht="30" x14ac:dyDescent="0.25">
      <c r="A16" s="142" t="s">
        <v>22</v>
      </c>
      <c r="B16" s="143"/>
      <c r="C16" s="148">
        <v>97638</v>
      </c>
      <c r="D16" s="143" t="s">
        <v>41</v>
      </c>
      <c r="E16" s="144" t="s">
        <v>42</v>
      </c>
      <c r="F16" s="143" t="s">
        <v>26</v>
      </c>
      <c r="G16" s="145"/>
      <c r="H16" s="146"/>
      <c r="I16" s="146">
        <v>0.67</v>
      </c>
      <c r="J16" s="146">
        <f>SUM(J17:J18)</f>
        <v>2.04634026</v>
      </c>
      <c r="K16" s="146">
        <f>SUM(K17:K18)</f>
        <v>5.0130299573999997</v>
      </c>
      <c r="L16" s="146">
        <f>J16+K16</f>
        <v>7.0593702173999997</v>
      </c>
      <c r="M16" s="146">
        <f>J16*I16</f>
        <v>1.3710479742000001</v>
      </c>
      <c r="N16" s="146">
        <f>K16*I16</f>
        <v>3.358730071458</v>
      </c>
      <c r="O16" s="146">
        <f>M16+N16</f>
        <v>4.7297780456579996</v>
      </c>
      <c r="P16" s="146">
        <f>O16*$P$1</f>
        <v>1.2136610465158426</v>
      </c>
      <c r="Q16" s="146">
        <f>P16+O16</f>
        <v>5.9434390921738425</v>
      </c>
    </row>
    <row r="17" spans="1:18" s="25" customFormat="1" x14ac:dyDescent="0.25">
      <c r="A17" s="196" t="s">
        <v>22</v>
      </c>
      <c r="B17" s="197" t="s">
        <v>27</v>
      </c>
      <c r="C17" s="197">
        <v>88278</v>
      </c>
      <c r="D17" s="197"/>
      <c r="E17" s="198" t="s">
        <v>43</v>
      </c>
      <c r="F17" s="197" t="s">
        <v>29</v>
      </c>
      <c r="G17" s="199">
        <v>0.1186</v>
      </c>
      <c r="H17" s="199">
        <v>22.41</v>
      </c>
      <c r="I17" s="199" t="s">
        <v>1193</v>
      </c>
      <c r="J17" s="199">
        <f>0.233*G17*H17</f>
        <v>0.619273458</v>
      </c>
      <c r="K17" s="199">
        <f>0.7669*H17*G17</f>
        <v>2.0382867594</v>
      </c>
      <c r="L17" s="199"/>
      <c r="M17" s="199"/>
      <c r="N17" s="199"/>
      <c r="O17" s="199"/>
      <c r="P17" s="199"/>
      <c r="Q17" s="199"/>
    </row>
    <row r="18" spans="1:18" s="25" customFormat="1" x14ac:dyDescent="0.25">
      <c r="A18" s="200" t="s">
        <v>22</v>
      </c>
      <c r="B18" s="201" t="s">
        <v>27</v>
      </c>
      <c r="C18" s="201">
        <v>88316</v>
      </c>
      <c r="D18" s="201"/>
      <c r="E18" s="202" t="s">
        <v>30</v>
      </c>
      <c r="F18" s="201" t="s">
        <v>29</v>
      </c>
      <c r="G18" s="203">
        <v>0.2329</v>
      </c>
      <c r="H18" s="203">
        <v>18.899999999999999</v>
      </c>
      <c r="I18" s="203" t="s">
        <v>1193</v>
      </c>
      <c r="J18" s="203">
        <f>0.3242*H18*G18</f>
        <v>1.4270668019999999</v>
      </c>
      <c r="K18" s="203">
        <f>0.6758*H18*G18</f>
        <v>2.9747431979999996</v>
      </c>
      <c r="L18" s="203"/>
      <c r="M18" s="203"/>
      <c r="N18" s="203"/>
      <c r="O18" s="203"/>
      <c r="P18" s="203"/>
      <c r="Q18" s="203"/>
    </row>
    <row r="19" spans="1:18" s="189" customFormat="1" x14ac:dyDescent="0.25">
      <c r="A19" s="159"/>
      <c r="B19" s="160"/>
      <c r="C19" s="160"/>
      <c r="D19" s="160"/>
      <c r="E19" s="161"/>
      <c r="F19" s="160"/>
      <c r="G19" s="162"/>
      <c r="H19" s="162"/>
      <c r="I19" s="162" t="s">
        <v>1193</v>
      </c>
      <c r="J19" s="162"/>
      <c r="K19" s="162"/>
      <c r="L19" s="162"/>
      <c r="M19" s="162"/>
      <c r="N19" s="162"/>
      <c r="O19" s="162"/>
      <c r="P19" s="162"/>
      <c r="Q19" s="162"/>
      <c r="R19" s="25"/>
    </row>
    <row r="20" spans="1:18" s="189" customFormat="1" ht="15.75" x14ac:dyDescent="0.25">
      <c r="A20" s="183"/>
      <c r="B20" s="184"/>
      <c r="C20" s="184"/>
      <c r="D20" s="185"/>
      <c r="E20" s="186" t="s">
        <v>44</v>
      </c>
      <c r="F20" s="185"/>
      <c r="G20" s="187"/>
      <c r="H20" s="188"/>
      <c r="I20" s="187" t="s">
        <v>1193</v>
      </c>
      <c r="J20" s="187"/>
      <c r="K20" s="187"/>
      <c r="L20" s="187"/>
      <c r="M20" s="187"/>
      <c r="N20" s="187"/>
      <c r="O20" s="187"/>
      <c r="P20" s="188"/>
      <c r="Q20" s="188"/>
      <c r="R20" s="25"/>
    </row>
    <row r="21" spans="1:18" s="25" customFormat="1" x14ac:dyDescent="0.25">
      <c r="A21" s="142" t="s">
        <v>22</v>
      </c>
      <c r="B21" s="143"/>
      <c r="C21" s="148">
        <v>97641</v>
      </c>
      <c r="D21" s="143" t="s">
        <v>45</v>
      </c>
      <c r="E21" s="144" t="s">
        <v>46</v>
      </c>
      <c r="F21" s="143" t="s">
        <v>33</v>
      </c>
      <c r="G21" s="145"/>
      <c r="H21" s="146"/>
      <c r="I21" s="146">
        <v>0.67</v>
      </c>
      <c r="J21" s="146">
        <f>SUM(J22:J23)</f>
        <v>1.3061492046000001</v>
      </c>
      <c r="K21" s="146">
        <f>SUM(K22:K23)</f>
        <v>3.0788577953999998</v>
      </c>
      <c r="L21" s="146">
        <f>J21+K21</f>
        <v>4.3850069999999999</v>
      </c>
      <c r="M21" s="146">
        <f>J21*I21</f>
        <v>0.87511996708200013</v>
      </c>
      <c r="N21" s="146">
        <f>K21*I21</f>
        <v>2.0628347229180002</v>
      </c>
      <c r="O21" s="146">
        <f>M21+N21</f>
        <v>2.9379546900000002</v>
      </c>
      <c r="P21" s="146">
        <f>O21*$P$1</f>
        <v>0.75387917345400002</v>
      </c>
      <c r="Q21" s="146">
        <f>P21+O21</f>
        <v>3.6918338634540002</v>
      </c>
    </row>
    <row r="22" spans="1:18" s="25" customFormat="1" x14ac:dyDescent="0.25">
      <c r="A22" s="200" t="s">
        <v>22</v>
      </c>
      <c r="B22" s="201" t="s">
        <v>27</v>
      </c>
      <c r="C22" s="201">
        <v>88269</v>
      </c>
      <c r="D22" s="201"/>
      <c r="E22" s="202" t="s">
        <v>47</v>
      </c>
      <c r="F22" s="201" t="s">
        <v>29</v>
      </c>
      <c r="G22" s="203">
        <v>7.1300000000000002E-2</v>
      </c>
      <c r="H22" s="203">
        <v>24.39</v>
      </c>
      <c r="I22" s="203" t="s">
        <v>1193</v>
      </c>
      <c r="J22" s="203">
        <f>0.2578*H22*G22</f>
        <v>0.44831600459999998</v>
      </c>
      <c r="K22" s="203">
        <f>0.7422*H22*G22</f>
        <v>1.2906909953999999</v>
      </c>
      <c r="L22" s="203"/>
      <c r="M22" s="203"/>
      <c r="N22" s="203"/>
      <c r="O22" s="203"/>
      <c r="P22" s="203"/>
      <c r="Q22" s="203"/>
    </row>
    <row r="23" spans="1:18" s="25" customFormat="1" x14ac:dyDescent="0.25">
      <c r="A23" s="196" t="s">
        <v>22</v>
      </c>
      <c r="B23" s="197" t="s">
        <v>27</v>
      </c>
      <c r="C23" s="197">
        <v>88316</v>
      </c>
      <c r="D23" s="197"/>
      <c r="E23" s="198" t="s">
        <v>30</v>
      </c>
      <c r="F23" s="197" t="s">
        <v>29</v>
      </c>
      <c r="G23" s="199">
        <v>0.14000000000000001</v>
      </c>
      <c r="H23" s="203">
        <v>18.899999999999999</v>
      </c>
      <c r="I23" s="199" t="s">
        <v>1193</v>
      </c>
      <c r="J23" s="199">
        <f>0.3242*H23*G23</f>
        <v>0.85783320000000007</v>
      </c>
      <c r="K23" s="199">
        <f>0.6758*H23*G23</f>
        <v>1.7881667999999999</v>
      </c>
      <c r="L23" s="199"/>
      <c r="M23" s="199"/>
      <c r="N23" s="199"/>
      <c r="O23" s="199"/>
      <c r="P23" s="199"/>
      <c r="Q23" s="199"/>
    </row>
    <row r="24" spans="1:18" s="189" customFormat="1" x14ac:dyDescent="0.25">
      <c r="A24" s="163"/>
      <c r="B24" s="101"/>
      <c r="C24" s="101"/>
      <c r="D24" s="101"/>
      <c r="E24" s="102"/>
      <c r="F24" s="101"/>
      <c r="G24" s="96"/>
      <c r="H24" s="96"/>
      <c r="I24" s="96" t="s">
        <v>1193</v>
      </c>
      <c r="J24" s="96"/>
      <c r="K24" s="96"/>
      <c r="L24" s="96"/>
      <c r="M24" s="96"/>
      <c r="N24" s="96"/>
      <c r="O24" s="96"/>
      <c r="P24" s="96"/>
      <c r="Q24" s="96"/>
      <c r="R24" s="25"/>
    </row>
    <row r="25" spans="1:18" s="25" customFormat="1" ht="30" x14ac:dyDescent="0.25">
      <c r="A25" s="142" t="s">
        <v>22</v>
      </c>
      <c r="B25" s="143"/>
      <c r="C25" s="148">
        <v>97640</v>
      </c>
      <c r="D25" s="143" t="s">
        <v>48</v>
      </c>
      <c r="E25" s="144" t="s">
        <v>49</v>
      </c>
      <c r="F25" s="143" t="s">
        <v>26</v>
      </c>
      <c r="G25" s="145"/>
      <c r="H25" s="146"/>
      <c r="I25" s="146">
        <v>0.67</v>
      </c>
      <c r="J25" s="146">
        <f>SUM(J26:J27)</f>
        <v>0.44537364000000002</v>
      </c>
      <c r="K25" s="146">
        <f>SUM(K26:K27)</f>
        <v>1.0909765422</v>
      </c>
      <c r="L25" s="146">
        <f>J25+K25</f>
        <v>1.5363501822000001</v>
      </c>
      <c r="M25" s="146">
        <f>J25*I25</f>
        <v>0.29840033880000005</v>
      </c>
      <c r="N25" s="146">
        <f>K25*I25</f>
        <v>0.73095428327400003</v>
      </c>
      <c r="O25" s="146">
        <f>M25+N25</f>
        <v>1.029354622074</v>
      </c>
      <c r="P25" s="146">
        <f>O25*$P$1</f>
        <v>0.26413239602418837</v>
      </c>
      <c r="Q25" s="146">
        <f>P25+O25</f>
        <v>1.2934870180981883</v>
      </c>
    </row>
    <row r="26" spans="1:18" s="25" customFormat="1" x14ac:dyDescent="0.25">
      <c r="A26" s="200" t="s">
        <v>22</v>
      </c>
      <c r="B26" s="201" t="s">
        <v>27</v>
      </c>
      <c r="C26" s="201">
        <v>88278</v>
      </c>
      <c r="D26" s="201"/>
      <c r="E26" s="202" t="s">
        <v>43</v>
      </c>
      <c r="F26" s="201" t="s">
        <v>29</v>
      </c>
      <c r="G26" s="203">
        <v>2.58E-2</v>
      </c>
      <c r="H26" s="203">
        <v>22.41</v>
      </c>
      <c r="I26" s="203" t="s">
        <v>1193</v>
      </c>
      <c r="J26" s="203">
        <f>0.233*G26*H26</f>
        <v>0.134715474</v>
      </c>
      <c r="K26" s="203">
        <f>0.7669*H26*G26</f>
        <v>0.4434047082</v>
      </c>
      <c r="L26" s="203"/>
      <c r="M26" s="203"/>
      <c r="N26" s="203"/>
      <c r="O26" s="203"/>
      <c r="P26" s="203"/>
      <c r="Q26" s="203"/>
    </row>
    <row r="27" spans="1:18" s="25" customFormat="1" x14ac:dyDescent="0.25">
      <c r="A27" s="196" t="s">
        <v>22</v>
      </c>
      <c r="B27" s="197" t="s">
        <v>27</v>
      </c>
      <c r="C27" s="197">
        <v>88316</v>
      </c>
      <c r="D27" s="197"/>
      <c r="E27" s="198" t="s">
        <v>30</v>
      </c>
      <c r="F27" s="197" t="s">
        <v>29</v>
      </c>
      <c r="G27" s="199">
        <v>5.0700000000000002E-2</v>
      </c>
      <c r="H27" s="203">
        <v>18.899999999999999</v>
      </c>
      <c r="I27" s="199" t="s">
        <v>1193</v>
      </c>
      <c r="J27" s="199">
        <f>0.3242*H27*G27</f>
        <v>0.31065816600000001</v>
      </c>
      <c r="K27" s="199">
        <f>0.6758*H27*G27</f>
        <v>0.64757183399999996</v>
      </c>
      <c r="L27" s="199"/>
      <c r="M27" s="199"/>
      <c r="N27" s="199"/>
      <c r="O27" s="199"/>
      <c r="P27" s="199"/>
      <c r="Q27" s="199"/>
    </row>
    <row r="28" spans="1:18" s="189" customFormat="1" x14ac:dyDescent="0.25">
      <c r="A28" s="163"/>
      <c r="B28" s="101"/>
      <c r="C28" s="101"/>
      <c r="D28" s="101"/>
      <c r="E28" s="102"/>
      <c r="F28" s="101"/>
      <c r="G28" s="96"/>
      <c r="H28" s="96"/>
      <c r="I28" s="96" t="s">
        <v>1193</v>
      </c>
      <c r="J28" s="96"/>
      <c r="K28" s="96"/>
      <c r="L28" s="96"/>
      <c r="M28" s="96"/>
      <c r="N28" s="96"/>
      <c r="O28" s="96"/>
      <c r="P28" s="96"/>
      <c r="Q28" s="96"/>
      <c r="R28" s="25"/>
    </row>
    <row r="29" spans="1:18" s="189" customFormat="1" ht="15.75" x14ac:dyDescent="0.25">
      <c r="A29" s="183"/>
      <c r="B29" s="184"/>
      <c r="C29" s="184"/>
      <c r="D29" s="185"/>
      <c r="E29" s="186" t="s">
        <v>50</v>
      </c>
      <c r="F29" s="185"/>
      <c r="G29" s="187"/>
      <c r="H29" s="188"/>
      <c r="I29" s="187" t="s">
        <v>1193</v>
      </c>
      <c r="J29" s="187"/>
      <c r="K29" s="187"/>
      <c r="L29" s="187"/>
      <c r="M29" s="187"/>
      <c r="N29" s="187"/>
      <c r="O29" s="187"/>
      <c r="P29" s="188"/>
      <c r="Q29" s="188"/>
      <c r="R29" s="25"/>
    </row>
    <row r="30" spans="1:18" s="25" customFormat="1" ht="30" x14ac:dyDescent="0.25">
      <c r="A30" s="142" t="s">
        <v>22</v>
      </c>
      <c r="B30" s="143"/>
      <c r="C30" s="148">
        <v>97647</v>
      </c>
      <c r="D30" s="143" t="s">
        <v>51</v>
      </c>
      <c r="E30" s="144" t="s">
        <v>52</v>
      </c>
      <c r="F30" s="143" t="s">
        <v>26</v>
      </c>
      <c r="G30" s="145"/>
      <c r="H30" s="146"/>
      <c r="I30" s="146">
        <v>0.67</v>
      </c>
      <c r="J30" s="146">
        <f>SUM(J31:J32)</f>
        <v>0.89960851799999997</v>
      </c>
      <c r="K30" s="146">
        <f>SUM(K31:K32)</f>
        <v>2.0637646523999997</v>
      </c>
      <c r="L30" s="146">
        <f>J30+K30</f>
        <v>2.9633731703999997</v>
      </c>
      <c r="M30" s="146">
        <f>J30*I30</f>
        <v>0.60273770705999996</v>
      </c>
      <c r="N30" s="146">
        <f>K30*I30</f>
        <v>1.3827223171079999</v>
      </c>
      <c r="O30" s="146">
        <f>M30+N30</f>
        <v>1.9854600241679998</v>
      </c>
      <c r="P30" s="146">
        <f>O30*$P$1</f>
        <v>0.50946904220150879</v>
      </c>
      <c r="Q30" s="146">
        <f>P30+O30</f>
        <v>2.4949290663695085</v>
      </c>
    </row>
    <row r="31" spans="1:18" s="25" customFormat="1" x14ac:dyDescent="0.25">
      <c r="A31" s="196" t="s">
        <v>22</v>
      </c>
      <c r="B31" s="197" t="s">
        <v>27</v>
      </c>
      <c r="C31" s="197">
        <v>88323</v>
      </c>
      <c r="D31" s="197"/>
      <c r="E31" s="198" t="s">
        <v>53</v>
      </c>
      <c r="F31" s="197" t="s">
        <v>29</v>
      </c>
      <c r="G31" s="199">
        <v>4.9399999999999999E-2</v>
      </c>
      <c r="H31" s="199">
        <v>22.84</v>
      </c>
      <c r="I31" s="199" t="s">
        <v>1193</v>
      </c>
      <c r="J31" s="199">
        <f>0.27*H31*G31</f>
        <v>0.30463992000000001</v>
      </c>
      <c r="K31" s="199">
        <f>0.7299*H31*G31</f>
        <v>0.82354325039999987</v>
      </c>
      <c r="L31" s="199"/>
      <c r="M31" s="199"/>
      <c r="N31" s="199"/>
      <c r="O31" s="199"/>
      <c r="P31" s="199"/>
      <c r="Q31" s="199"/>
    </row>
    <row r="32" spans="1:18" s="25" customFormat="1" x14ac:dyDescent="0.25">
      <c r="A32" s="200" t="s">
        <v>22</v>
      </c>
      <c r="B32" s="201" t="s">
        <v>27</v>
      </c>
      <c r="C32" s="201">
        <v>88316</v>
      </c>
      <c r="D32" s="201"/>
      <c r="E32" s="202" t="s">
        <v>30</v>
      </c>
      <c r="F32" s="201" t="s">
        <v>29</v>
      </c>
      <c r="G32" s="203">
        <v>9.7100000000000006E-2</v>
      </c>
      <c r="H32" s="203">
        <v>18.899999999999999</v>
      </c>
      <c r="I32" s="203" t="s">
        <v>1193</v>
      </c>
      <c r="J32" s="203">
        <f>0.3242*H32*G32</f>
        <v>0.59496859800000002</v>
      </c>
      <c r="K32" s="203">
        <f>0.6758*H32*G32</f>
        <v>1.240221402</v>
      </c>
      <c r="L32" s="203"/>
      <c r="M32" s="203"/>
      <c r="N32" s="203"/>
      <c r="O32" s="203"/>
      <c r="P32" s="203"/>
      <c r="Q32" s="203"/>
    </row>
    <row r="33" spans="1:18" s="189" customFormat="1" x14ac:dyDescent="0.25">
      <c r="A33" s="159"/>
      <c r="B33" s="160"/>
      <c r="C33" s="160"/>
      <c r="D33" s="160"/>
      <c r="E33" s="161"/>
      <c r="F33" s="160"/>
      <c r="G33" s="162"/>
      <c r="H33" s="162"/>
      <c r="I33" s="162" t="s">
        <v>1193</v>
      </c>
      <c r="J33" s="162"/>
      <c r="K33" s="162"/>
      <c r="L33" s="162"/>
      <c r="M33" s="162"/>
      <c r="N33" s="162"/>
      <c r="O33" s="162"/>
      <c r="P33" s="162"/>
      <c r="Q33" s="162"/>
      <c r="R33" s="25"/>
    </row>
    <row r="34" spans="1:18" s="25" customFormat="1" x14ac:dyDescent="0.25">
      <c r="A34" s="142" t="s">
        <v>22</v>
      </c>
      <c r="B34" s="143"/>
      <c r="C34" s="148">
        <v>97650</v>
      </c>
      <c r="D34" s="143" t="s">
        <v>54</v>
      </c>
      <c r="E34" s="144" t="s">
        <v>55</v>
      </c>
      <c r="F34" s="143" t="s">
        <v>26</v>
      </c>
      <c r="G34" s="145"/>
      <c r="H34" s="146"/>
      <c r="I34" s="146">
        <v>0.67</v>
      </c>
      <c r="J34" s="146">
        <f>SUM(J35:J36)</f>
        <v>1.9330856280000002</v>
      </c>
      <c r="K34" s="146">
        <f>SUM(K35:K36)</f>
        <v>4.4253599399999999</v>
      </c>
      <c r="L34" s="146">
        <f>J34+K34</f>
        <v>6.3584455680000005</v>
      </c>
      <c r="M34" s="146">
        <f>J34*I34</f>
        <v>1.2951673707600002</v>
      </c>
      <c r="N34" s="146">
        <f>K34*I34</f>
        <v>2.9649911598000003</v>
      </c>
      <c r="O34" s="146">
        <f>M34+N34</f>
        <v>4.26015853056</v>
      </c>
      <c r="P34" s="146">
        <f>O34*$P$1</f>
        <v>1.093156678941696</v>
      </c>
      <c r="Q34" s="146">
        <f>P34+O34</f>
        <v>5.3533152095016963</v>
      </c>
    </row>
    <row r="35" spans="1:18" s="25" customFormat="1" x14ac:dyDescent="0.25">
      <c r="A35" s="196" t="s">
        <v>22</v>
      </c>
      <c r="B35" s="197" t="s">
        <v>27</v>
      </c>
      <c r="C35" s="197">
        <v>88323</v>
      </c>
      <c r="D35" s="197"/>
      <c r="E35" s="198" t="s">
        <v>53</v>
      </c>
      <c r="F35" s="197" t="s">
        <v>29</v>
      </c>
      <c r="G35" s="199">
        <v>0.1062</v>
      </c>
      <c r="H35" s="199">
        <v>22.84</v>
      </c>
      <c r="I35" s="199" t="s">
        <v>1193</v>
      </c>
      <c r="J35" s="199">
        <f>0.27*H35*G35</f>
        <v>0.65491416000000002</v>
      </c>
      <c r="K35" s="199">
        <f>0.726*H35*G35</f>
        <v>1.760991408</v>
      </c>
      <c r="L35" s="199"/>
      <c r="M35" s="199"/>
      <c r="N35" s="199"/>
      <c r="O35" s="199"/>
      <c r="P35" s="199"/>
      <c r="Q35" s="199"/>
    </row>
    <row r="36" spans="1:18" s="25" customFormat="1" x14ac:dyDescent="0.25">
      <c r="A36" s="200" t="s">
        <v>22</v>
      </c>
      <c r="B36" s="201" t="s">
        <v>27</v>
      </c>
      <c r="C36" s="201">
        <v>88316</v>
      </c>
      <c r="D36" s="201"/>
      <c r="E36" s="202" t="s">
        <v>30</v>
      </c>
      <c r="F36" s="201" t="s">
        <v>29</v>
      </c>
      <c r="G36" s="203">
        <v>0.20860000000000001</v>
      </c>
      <c r="H36" s="203">
        <v>18.899999999999999</v>
      </c>
      <c r="I36" s="203" t="s">
        <v>1193</v>
      </c>
      <c r="J36" s="203">
        <f>0.3242*H36*G36</f>
        <v>1.278171468</v>
      </c>
      <c r="K36" s="203">
        <f>0.6758*H36*G36</f>
        <v>2.6643685319999997</v>
      </c>
      <c r="L36" s="203"/>
      <c r="M36" s="203"/>
      <c r="N36" s="203"/>
      <c r="O36" s="203"/>
      <c r="P36" s="203"/>
      <c r="Q36" s="203"/>
    </row>
    <row r="37" spans="1:18" s="189" customFormat="1" x14ac:dyDescent="0.25">
      <c r="A37" s="159"/>
      <c r="B37" s="160"/>
      <c r="C37" s="160"/>
      <c r="D37" s="160"/>
      <c r="E37" s="161"/>
      <c r="F37" s="160"/>
      <c r="G37" s="162"/>
      <c r="H37" s="162"/>
      <c r="I37" s="162" t="s">
        <v>1193</v>
      </c>
      <c r="J37" s="162"/>
      <c r="K37" s="162"/>
      <c r="L37" s="162"/>
      <c r="M37" s="162"/>
      <c r="N37" s="162"/>
      <c r="O37" s="162"/>
      <c r="P37" s="162"/>
      <c r="Q37" s="162"/>
      <c r="R37" s="25"/>
    </row>
    <row r="38" spans="1:18" s="25" customFormat="1" ht="30" x14ac:dyDescent="0.25">
      <c r="A38" s="149" t="s">
        <v>56</v>
      </c>
      <c r="B38" s="148"/>
      <c r="C38" s="148"/>
      <c r="D38" s="143" t="s">
        <v>57</v>
      </c>
      <c r="E38" s="144" t="s">
        <v>58</v>
      </c>
      <c r="F38" s="143" t="s">
        <v>39</v>
      </c>
      <c r="G38" s="145"/>
      <c r="H38" s="146"/>
      <c r="I38" s="146">
        <v>0.67</v>
      </c>
      <c r="J38" s="146">
        <f>SUM(J40:J40)</f>
        <v>1.8382139999999998</v>
      </c>
      <c r="K38" s="146">
        <f>SUM(K39:K40)</f>
        <v>5.6022372791999988</v>
      </c>
      <c r="L38" s="146">
        <f>J38+K38</f>
        <v>7.4404512791999986</v>
      </c>
      <c r="M38" s="146">
        <f>J38*I38</f>
        <v>1.2316033799999999</v>
      </c>
      <c r="N38" s="146">
        <f>K38*I38</f>
        <v>3.7534989770639995</v>
      </c>
      <c r="O38" s="146">
        <f>M38+N38</f>
        <v>4.9851023570639992</v>
      </c>
      <c r="P38" s="146">
        <f>O38*$P$1</f>
        <v>1.2791772648226221</v>
      </c>
      <c r="Q38" s="146">
        <f>P38+O38</f>
        <v>6.2642796218866215</v>
      </c>
    </row>
    <row r="39" spans="1:18" s="25" customFormat="1" x14ac:dyDescent="0.25">
      <c r="A39" s="196" t="s">
        <v>22</v>
      </c>
      <c r="B39" s="197" t="s">
        <v>27</v>
      </c>
      <c r="C39" s="197">
        <v>88323</v>
      </c>
      <c r="D39" s="197"/>
      <c r="E39" s="198" t="s">
        <v>53</v>
      </c>
      <c r="F39" s="197" t="s">
        <v>29</v>
      </c>
      <c r="G39" s="199">
        <v>0.1062</v>
      </c>
      <c r="H39" s="199">
        <v>22.84</v>
      </c>
      <c r="I39" s="199" t="s">
        <v>1193</v>
      </c>
      <c r="J39" s="199">
        <f>0.27*H39*G39</f>
        <v>0.65491416000000002</v>
      </c>
      <c r="K39" s="199">
        <f>0.7299*H39*G39</f>
        <v>1.7704512791999998</v>
      </c>
      <c r="L39" s="199"/>
      <c r="M39" s="199"/>
      <c r="N39" s="199"/>
      <c r="O39" s="199"/>
      <c r="P39" s="199"/>
      <c r="Q39" s="199"/>
    </row>
    <row r="40" spans="1:18" s="25" customFormat="1" x14ac:dyDescent="0.25">
      <c r="A40" s="200" t="s">
        <v>22</v>
      </c>
      <c r="B40" s="201" t="s">
        <v>27</v>
      </c>
      <c r="C40" s="201">
        <v>88316</v>
      </c>
      <c r="D40" s="201"/>
      <c r="E40" s="202" t="s">
        <v>30</v>
      </c>
      <c r="F40" s="201" t="s">
        <v>29</v>
      </c>
      <c r="G40" s="203">
        <v>0.3</v>
      </c>
      <c r="H40" s="203">
        <v>18.899999999999999</v>
      </c>
      <c r="I40" s="203" t="s">
        <v>1193</v>
      </c>
      <c r="J40" s="203">
        <f>0.3242*H40*G40</f>
        <v>1.8382139999999998</v>
      </c>
      <c r="K40" s="203">
        <f>0.6758*H40*G40</f>
        <v>3.8317859999999992</v>
      </c>
      <c r="L40" s="203"/>
      <c r="M40" s="203"/>
      <c r="N40" s="203"/>
      <c r="O40" s="203"/>
      <c r="P40" s="203"/>
      <c r="Q40" s="203"/>
    </row>
    <row r="41" spans="1:18" s="25" customFormat="1" x14ac:dyDescent="0.25">
      <c r="A41" s="159"/>
      <c r="B41" s="160"/>
      <c r="C41" s="160"/>
      <c r="D41" s="160"/>
      <c r="E41" s="161"/>
      <c r="F41" s="160"/>
      <c r="G41" s="162"/>
      <c r="H41" s="162"/>
      <c r="I41" s="162" t="s">
        <v>1193</v>
      </c>
      <c r="J41" s="162"/>
      <c r="K41" s="162"/>
      <c r="L41" s="162"/>
      <c r="M41" s="162"/>
      <c r="N41" s="162"/>
      <c r="O41" s="162"/>
      <c r="P41" s="162"/>
      <c r="Q41" s="162"/>
    </row>
    <row r="42" spans="1:18" s="189" customFormat="1" ht="15.75" x14ac:dyDescent="0.25">
      <c r="A42" s="183"/>
      <c r="B42" s="184"/>
      <c r="C42" s="184"/>
      <c r="D42" s="185"/>
      <c r="E42" s="186" t="s">
        <v>59</v>
      </c>
      <c r="F42" s="185"/>
      <c r="G42" s="187"/>
      <c r="H42" s="188"/>
      <c r="I42" s="187" t="s">
        <v>1193</v>
      </c>
      <c r="J42" s="187"/>
      <c r="K42" s="187"/>
      <c r="L42" s="187"/>
      <c r="M42" s="187"/>
      <c r="N42" s="187"/>
      <c r="O42" s="187"/>
      <c r="P42" s="188"/>
      <c r="Q42" s="188"/>
      <c r="R42" s="25"/>
    </row>
    <row r="43" spans="1:18" s="25" customFormat="1" ht="63" customHeight="1" x14ac:dyDescent="0.25">
      <c r="A43" s="142" t="s">
        <v>22</v>
      </c>
      <c r="B43" s="143"/>
      <c r="C43" s="143">
        <v>97645</v>
      </c>
      <c r="D43" s="143" t="s">
        <v>60</v>
      </c>
      <c r="E43" s="144" t="s">
        <v>61</v>
      </c>
      <c r="F43" s="143" t="s">
        <v>26</v>
      </c>
      <c r="G43" s="145"/>
      <c r="H43" s="146"/>
      <c r="I43" s="146">
        <v>0.67</v>
      </c>
      <c r="J43" s="146">
        <f>SUM(J44:J46)</f>
        <v>12.894407999999999</v>
      </c>
      <c r="K43" s="146">
        <f>SUM(K44:K46)</f>
        <v>15.755750639999999</v>
      </c>
      <c r="L43" s="146">
        <f>J43+K43</f>
        <v>28.650158639999997</v>
      </c>
      <c r="M43" s="146">
        <f>J43*I43</f>
        <v>8.6392533599999997</v>
      </c>
      <c r="N43" s="146">
        <f>K43*I43</f>
        <v>10.556352928799999</v>
      </c>
      <c r="O43" s="146">
        <f>M43+N43</f>
        <v>19.195606288800001</v>
      </c>
      <c r="P43" s="146">
        <f>O43*$P$1</f>
        <v>4.9255925737060799</v>
      </c>
      <c r="Q43" s="146">
        <f>P43+O43</f>
        <v>24.12119886250608</v>
      </c>
    </row>
    <row r="44" spans="1:18" s="25" customFormat="1" x14ac:dyDescent="0.25">
      <c r="A44" s="200" t="s">
        <v>22</v>
      </c>
      <c r="B44" s="201" t="s">
        <v>62</v>
      </c>
      <c r="C44" s="201">
        <v>41954</v>
      </c>
      <c r="D44" s="201"/>
      <c r="E44" s="204" t="s">
        <v>63</v>
      </c>
      <c r="F44" s="201" t="s">
        <v>64</v>
      </c>
      <c r="G44" s="203">
        <v>9.8299999999999998E-2</v>
      </c>
      <c r="H44" s="203">
        <v>63.27</v>
      </c>
      <c r="I44" s="203" t="s">
        <v>1193</v>
      </c>
      <c r="J44" s="203">
        <f>G44*H44</f>
        <v>6.2194409999999998</v>
      </c>
      <c r="K44" s="203"/>
      <c r="L44" s="203"/>
      <c r="M44" s="203"/>
      <c r="N44" s="203"/>
      <c r="O44" s="203"/>
      <c r="P44" s="203"/>
      <c r="Q44" s="203"/>
    </row>
    <row r="45" spans="1:18" s="25" customFormat="1" x14ac:dyDescent="0.25">
      <c r="A45" s="196" t="s">
        <v>22</v>
      </c>
      <c r="B45" s="197" t="s">
        <v>27</v>
      </c>
      <c r="C45" s="197">
        <v>88309</v>
      </c>
      <c r="D45" s="197"/>
      <c r="E45" s="198" t="s">
        <v>65</v>
      </c>
      <c r="F45" s="197" t="s">
        <v>29</v>
      </c>
      <c r="G45" s="199">
        <v>0.36</v>
      </c>
      <c r="H45" s="199">
        <v>24.51</v>
      </c>
      <c r="I45" s="199" t="s">
        <v>1193</v>
      </c>
      <c r="J45" s="199">
        <f>0.2565*H45*G45</f>
        <v>2.2632534</v>
      </c>
      <c r="K45" s="199">
        <f>0.7434*H45*G45</f>
        <v>6.5594642399999996</v>
      </c>
      <c r="L45" s="199"/>
      <c r="M45" s="199"/>
      <c r="N45" s="199"/>
      <c r="O45" s="199"/>
      <c r="P45" s="199"/>
      <c r="Q45" s="199"/>
    </row>
    <row r="46" spans="1:18" s="25" customFormat="1" x14ac:dyDescent="0.25">
      <c r="A46" s="200" t="s">
        <v>22</v>
      </c>
      <c r="B46" s="201" t="s">
        <v>27</v>
      </c>
      <c r="C46" s="201">
        <v>88316</v>
      </c>
      <c r="D46" s="201"/>
      <c r="E46" s="202" t="s">
        <v>30</v>
      </c>
      <c r="F46" s="201" t="s">
        <v>29</v>
      </c>
      <c r="G46" s="203">
        <v>0.72</v>
      </c>
      <c r="H46" s="203">
        <v>18.899999999999999</v>
      </c>
      <c r="I46" s="203" t="s">
        <v>1193</v>
      </c>
      <c r="J46" s="203">
        <f>0.3242*H46*G46</f>
        <v>4.4117135999999997</v>
      </c>
      <c r="K46" s="203">
        <f>0.6758*H46*G46</f>
        <v>9.1962863999999982</v>
      </c>
      <c r="L46" s="203"/>
      <c r="M46" s="203"/>
      <c r="N46" s="203"/>
      <c r="O46" s="203"/>
      <c r="P46" s="203"/>
      <c r="Q46" s="203"/>
    </row>
    <row r="47" spans="1:18" s="189" customFormat="1" x14ac:dyDescent="0.25">
      <c r="A47" s="159"/>
      <c r="B47" s="160"/>
      <c r="C47" s="160"/>
      <c r="D47" s="160"/>
      <c r="E47" s="161"/>
      <c r="F47" s="160"/>
      <c r="G47" s="162"/>
      <c r="H47" s="162"/>
      <c r="I47" s="162" t="s">
        <v>1193</v>
      </c>
      <c r="J47" s="162"/>
      <c r="K47" s="162"/>
      <c r="L47" s="162"/>
      <c r="M47" s="162"/>
      <c r="N47" s="162"/>
      <c r="O47" s="162"/>
      <c r="P47" s="162"/>
      <c r="Q47" s="162"/>
      <c r="R47" s="25"/>
    </row>
    <row r="48" spans="1:18" s="25" customFormat="1" ht="30" x14ac:dyDescent="0.25">
      <c r="A48" s="142" t="s">
        <v>22</v>
      </c>
      <c r="B48" s="143"/>
      <c r="C48" s="143">
        <v>97644</v>
      </c>
      <c r="D48" s="143" t="s">
        <v>66</v>
      </c>
      <c r="E48" s="144" t="s">
        <v>67</v>
      </c>
      <c r="F48" s="143" t="s">
        <v>26</v>
      </c>
      <c r="G48" s="145"/>
      <c r="H48" s="146"/>
      <c r="I48" s="146">
        <v>0.67</v>
      </c>
      <c r="J48" s="146">
        <f>SUM(J49:J50)</f>
        <v>2.4071941559999996</v>
      </c>
      <c r="K48" s="146">
        <f>SUM(K49:K50)</f>
        <v>5.6894047140000001</v>
      </c>
      <c r="L48" s="146">
        <f>J48+K48</f>
        <v>8.0965988699999993</v>
      </c>
      <c r="M48" s="146">
        <f>J48*I48</f>
        <v>1.6128200845199998</v>
      </c>
      <c r="N48" s="146">
        <f>K48*I48</f>
        <v>3.8119011583800004</v>
      </c>
      <c r="O48" s="146">
        <f>M48+N48</f>
        <v>5.4247212429000005</v>
      </c>
      <c r="P48" s="146">
        <f>O48*$P$1</f>
        <v>1.39198347092814</v>
      </c>
      <c r="Q48" s="146">
        <f>P48+O48</f>
        <v>6.8167047138281402</v>
      </c>
    </row>
    <row r="49" spans="1:18" s="25" customFormat="1" x14ac:dyDescent="0.25">
      <c r="A49" s="196" t="s">
        <v>22</v>
      </c>
      <c r="B49" s="197" t="s">
        <v>27</v>
      </c>
      <c r="C49" s="197">
        <v>88309</v>
      </c>
      <c r="D49" s="197"/>
      <c r="E49" s="198" t="s">
        <v>65</v>
      </c>
      <c r="F49" s="197" t="s">
        <v>29</v>
      </c>
      <c r="G49" s="199">
        <v>0.13150000000000001</v>
      </c>
      <c r="H49" s="199">
        <v>24.51</v>
      </c>
      <c r="I49" s="199" t="s">
        <v>1193</v>
      </c>
      <c r="J49" s="199">
        <f>0.256*H49*G49</f>
        <v>0.82510464000000006</v>
      </c>
      <c r="K49" s="199">
        <f>0.742*H49*G49</f>
        <v>2.3915142300000003</v>
      </c>
      <c r="L49" s="199"/>
      <c r="M49" s="199"/>
      <c r="N49" s="199"/>
      <c r="O49" s="199"/>
      <c r="P49" s="199"/>
      <c r="Q49" s="199"/>
    </row>
    <row r="50" spans="1:18" s="25" customFormat="1" x14ac:dyDescent="0.25">
      <c r="A50" s="200" t="s">
        <v>22</v>
      </c>
      <c r="B50" s="201" t="s">
        <v>27</v>
      </c>
      <c r="C50" s="201">
        <v>88316</v>
      </c>
      <c r="D50" s="201"/>
      <c r="E50" s="202" t="s">
        <v>30</v>
      </c>
      <c r="F50" s="201" t="s">
        <v>29</v>
      </c>
      <c r="G50" s="203">
        <v>0.25819999999999999</v>
      </c>
      <c r="H50" s="203">
        <v>18.899999999999999</v>
      </c>
      <c r="I50" s="203" t="s">
        <v>1193</v>
      </c>
      <c r="J50" s="203">
        <f>0.3242*H50*G50</f>
        <v>1.5820895159999997</v>
      </c>
      <c r="K50" s="203">
        <f>0.6758*H50*G50</f>
        <v>3.2978904839999994</v>
      </c>
      <c r="L50" s="203"/>
      <c r="M50" s="203"/>
      <c r="N50" s="203"/>
      <c r="O50" s="203"/>
      <c r="P50" s="203"/>
      <c r="Q50" s="203"/>
    </row>
    <row r="51" spans="1:18" s="189" customFormat="1" x14ac:dyDescent="0.25">
      <c r="A51" s="159"/>
      <c r="B51" s="160"/>
      <c r="C51" s="160"/>
      <c r="D51" s="160"/>
      <c r="E51" s="161"/>
      <c r="F51" s="160"/>
      <c r="G51" s="162"/>
      <c r="H51" s="162"/>
      <c r="I51" s="162" t="s">
        <v>1193</v>
      </c>
      <c r="J51" s="162"/>
      <c r="K51" s="162"/>
      <c r="L51" s="162"/>
      <c r="M51" s="162"/>
      <c r="N51" s="162"/>
      <c r="O51" s="162"/>
      <c r="P51" s="162"/>
      <c r="Q51" s="162"/>
      <c r="R51" s="25"/>
    </row>
    <row r="52" spans="1:18" s="25" customFormat="1" ht="30" x14ac:dyDescent="0.25">
      <c r="A52" s="149" t="s">
        <v>22</v>
      </c>
      <c r="B52" s="148"/>
      <c r="C52" s="143">
        <v>102192</v>
      </c>
      <c r="D52" s="143" t="s">
        <v>68</v>
      </c>
      <c r="E52" s="144" t="s">
        <v>69</v>
      </c>
      <c r="F52" s="143" t="s">
        <v>33</v>
      </c>
      <c r="G52" s="145"/>
      <c r="H52" s="146"/>
      <c r="I52" s="146">
        <v>0.67</v>
      </c>
      <c r="J52" s="146">
        <f>SUM(J53:J54)</f>
        <v>4.5739609200000002</v>
      </c>
      <c r="K52" s="146">
        <f>SUM(K53:K54)</f>
        <v>11.571183287999997</v>
      </c>
      <c r="L52" s="146">
        <f>J52+K52</f>
        <v>16.145144207999998</v>
      </c>
      <c r="M52" s="146">
        <f>J52*I52</f>
        <v>3.0645538164000001</v>
      </c>
      <c r="N52" s="146">
        <f>K52*I52</f>
        <v>7.7526928029599986</v>
      </c>
      <c r="O52" s="146">
        <f>M52+N52</f>
        <v>10.817246619359999</v>
      </c>
      <c r="P52" s="146">
        <f>O52*$P$1</f>
        <v>2.7757054825277758</v>
      </c>
      <c r="Q52" s="146">
        <f>P52+O52</f>
        <v>13.592952101887775</v>
      </c>
    </row>
    <row r="53" spans="1:18" s="25" customFormat="1" x14ac:dyDescent="0.25">
      <c r="A53" s="196" t="s">
        <v>22</v>
      </c>
      <c r="B53" s="197" t="s">
        <v>27</v>
      </c>
      <c r="C53" s="197">
        <v>88325</v>
      </c>
      <c r="D53" s="197"/>
      <c r="E53" s="198" t="s">
        <v>70</v>
      </c>
      <c r="F53" s="197" t="s">
        <v>29</v>
      </c>
      <c r="G53" s="203">
        <v>0.34799999999999998</v>
      </c>
      <c r="H53" s="199">
        <v>28.04</v>
      </c>
      <c r="I53" s="199" t="s">
        <v>1193</v>
      </c>
      <c r="J53" s="199">
        <f>0.2565*H53*G53</f>
        <v>2.50290648</v>
      </c>
      <c r="K53" s="199">
        <f>0.7434*H53*G53</f>
        <v>7.2540377279999984</v>
      </c>
      <c r="L53" s="199"/>
      <c r="M53" s="199"/>
      <c r="N53" s="199"/>
      <c r="O53" s="199"/>
      <c r="P53" s="199"/>
      <c r="Q53" s="199"/>
    </row>
    <row r="54" spans="1:18" s="25" customFormat="1" x14ac:dyDescent="0.25">
      <c r="A54" s="200" t="s">
        <v>22</v>
      </c>
      <c r="B54" s="201" t="s">
        <v>27</v>
      </c>
      <c r="C54" s="201">
        <v>88316</v>
      </c>
      <c r="D54" s="201"/>
      <c r="E54" s="202" t="s">
        <v>30</v>
      </c>
      <c r="F54" s="201" t="s">
        <v>29</v>
      </c>
      <c r="G54" s="203">
        <v>0.33800000000000002</v>
      </c>
      <c r="H54" s="203">
        <v>18.899999999999999</v>
      </c>
      <c r="I54" s="203" t="s">
        <v>1193</v>
      </c>
      <c r="J54" s="203">
        <f>0.3242*H54*G54</f>
        <v>2.0710544400000002</v>
      </c>
      <c r="K54" s="203">
        <f>0.6758*H54*G54</f>
        <v>4.3171455599999993</v>
      </c>
      <c r="L54" s="203"/>
      <c r="M54" s="203"/>
      <c r="N54" s="203"/>
      <c r="O54" s="203"/>
      <c r="P54" s="203"/>
      <c r="Q54" s="203"/>
    </row>
    <row r="55" spans="1:18" s="189" customFormat="1" x14ac:dyDescent="0.25">
      <c r="A55" s="159"/>
      <c r="B55" s="160"/>
      <c r="C55" s="160"/>
      <c r="D55" s="160"/>
      <c r="E55" s="161"/>
      <c r="F55" s="160"/>
      <c r="G55" s="162"/>
      <c r="H55" s="162"/>
      <c r="I55" s="162" t="s">
        <v>1193</v>
      </c>
      <c r="J55" s="162"/>
      <c r="K55" s="162"/>
      <c r="L55" s="162"/>
      <c r="M55" s="162"/>
      <c r="N55" s="162"/>
      <c r="O55" s="162"/>
      <c r="P55" s="162"/>
      <c r="Q55" s="162"/>
      <c r="R55" s="25"/>
    </row>
    <row r="56" spans="1:18" s="25" customFormat="1" ht="30" x14ac:dyDescent="0.25">
      <c r="A56" s="142" t="s">
        <v>71</v>
      </c>
      <c r="B56" s="143"/>
      <c r="C56" s="143"/>
      <c r="D56" s="143" t="s">
        <v>72</v>
      </c>
      <c r="E56" s="144" t="s">
        <v>73</v>
      </c>
      <c r="F56" s="143" t="s">
        <v>1215</v>
      </c>
      <c r="G56" s="145"/>
      <c r="H56" s="146"/>
      <c r="I56" s="146">
        <v>1</v>
      </c>
      <c r="J56" s="146">
        <f>SUM(J57:J58)</f>
        <v>374.39285333333339</v>
      </c>
      <c r="K56" s="146">
        <f>SUM(K57:K58)</f>
        <v>51.090479999999992</v>
      </c>
      <c r="L56" s="146">
        <f>J56+K56</f>
        <v>425.48333333333341</v>
      </c>
      <c r="M56" s="146">
        <f>J56*I56</f>
        <v>374.39285333333339</v>
      </c>
      <c r="N56" s="146">
        <f>K56*I56</f>
        <v>51.090479999999992</v>
      </c>
      <c r="O56" s="146">
        <f>M56+N56</f>
        <v>425.48333333333341</v>
      </c>
      <c r="P56" s="146">
        <f>O56*$P$1</f>
        <v>109.17902333333335</v>
      </c>
      <c r="Q56" s="146">
        <f>P56+O56</f>
        <v>534.66235666666671</v>
      </c>
    </row>
    <row r="57" spans="1:18" s="25" customFormat="1" x14ac:dyDescent="0.25">
      <c r="A57" s="196" t="s">
        <v>22</v>
      </c>
      <c r="B57" s="197" t="s">
        <v>27</v>
      </c>
      <c r="C57" s="197">
        <v>88316</v>
      </c>
      <c r="D57" s="197"/>
      <c r="E57" s="198" t="s">
        <v>30</v>
      </c>
      <c r="F57" s="197" t="s">
        <v>29</v>
      </c>
      <c r="G57" s="203">
        <v>4</v>
      </c>
      <c r="H57" s="203">
        <v>18.899999999999999</v>
      </c>
      <c r="I57" s="199" t="s">
        <v>1193</v>
      </c>
      <c r="J57" s="199">
        <f>0.3242*H57*G57</f>
        <v>24.509519999999998</v>
      </c>
      <c r="K57" s="199">
        <f>0.6758*H57*G57</f>
        <v>51.090479999999992</v>
      </c>
      <c r="L57" s="199"/>
      <c r="M57" s="199"/>
      <c r="N57" s="199"/>
      <c r="O57" s="199"/>
      <c r="P57" s="199"/>
      <c r="Q57" s="199"/>
    </row>
    <row r="58" spans="1:18" s="189" customFormat="1" ht="30" x14ac:dyDescent="0.25">
      <c r="A58" s="252" t="s">
        <v>877</v>
      </c>
      <c r="B58" s="201" t="s">
        <v>62</v>
      </c>
      <c r="C58" s="205"/>
      <c r="D58" s="201"/>
      <c r="E58" s="204" t="s">
        <v>73</v>
      </c>
      <c r="F58" s="201" t="s">
        <v>1215</v>
      </c>
      <c r="G58" s="203">
        <v>1</v>
      </c>
      <c r="H58" s="339">
        <f>'MAPA COTAÇÕES CIVIL'!$H$7</f>
        <v>349.88333333333338</v>
      </c>
      <c r="I58" s="203" t="s">
        <v>1193</v>
      </c>
      <c r="J58" s="203">
        <f>G58*H58</f>
        <v>349.88333333333338</v>
      </c>
      <c r="K58" s="203"/>
      <c r="L58" s="203"/>
      <c r="M58" s="203"/>
      <c r="N58" s="203"/>
      <c r="O58" s="203"/>
      <c r="P58" s="203"/>
      <c r="Q58" s="203"/>
      <c r="R58" s="25"/>
    </row>
    <row r="59" spans="1:18" s="25" customFormat="1" x14ac:dyDescent="0.25">
      <c r="A59" s="159"/>
      <c r="B59" s="160"/>
      <c r="C59" s="160"/>
      <c r="D59" s="160"/>
      <c r="E59" s="161"/>
      <c r="F59" s="160"/>
      <c r="G59" s="162"/>
      <c r="H59" s="162"/>
      <c r="I59" s="162" t="s">
        <v>1193</v>
      </c>
      <c r="J59" s="162"/>
      <c r="K59" s="162"/>
      <c r="L59" s="162"/>
      <c r="M59" s="162"/>
      <c r="N59" s="162"/>
      <c r="O59" s="162"/>
      <c r="P59" s="162"/>
      <c r="Q59" s="162"/>
    </row>
    <row r="60" spans="1:18" s="25" customFormat="1" ht="30" x14ac:dyDescent="0.25">
      <c r="A60" s="142" t="s">
        <v>71</v>
      </c>
      <c r="B60" s="143"/>
      <c r="C60" s="143"/>
      <c r="D60" s="143" t="s">
        <v>74</v>
      </c>
      <c r="E60" s="144" t="s">
        <v>75</v>
      </c>
      <c r="F60" s="143" t="s">
        <v>1215</v>
      </c>
      <c r="G60" s="145"/>
      <c r="H60" s="146"/>
      <c r="I60" s="146">
        <v>1</v>
      </c>
      <c r="J60" s="146">
        <f>SUM(J61:J62)</f>
        <v>487.72618666666671</v>
      </c>
      <c r="K60" s="146">
        <f>SUM(K61:K62)</f>
        <v>51.090479999999992</v>
      </c>
      <c r="L60" s="146">
        <f>J60+K60</f>
        <v>538.81666666666672</v>
      </c>
      <c r="M60" s="146">
        <f>J60*I60</f>
        <v>487.72618666666671</v>
      </c>
      <c r="N60" s="146">
        <f>K60*I60</f>
        <v>51.090479999999992</v>
      </c>
      <c r="O60" s="146">
        <f>M60+N60</f>
        <v>538.81666666666672</v>
      </c>
      <c r="P60" s="146">
        <f>O60*$P$1</f>
        <v>138.26035666666667</v>
      </c>
      <c r="Q60" s="146">
        <f>P60+O60</f>
        <v>677.07702333333339</v>
      </c>
    </row>
    <row r="61" spans="1:18" s="25" customFormat="1" x14ac:dyDescent="0.25">
      <c r="A61" s="196" t="s">
        <v>22</v>
      </c>
      <c r="B61" s="197" t="s">
        <v>27</v>
      </c>
      <c r="C61" s="197">
        <v>88316</v>
      </c>
      <c r="D61" s="197"/>
      <c r="E61" s="198" t="s">
        <v>30</v>
      </c>
      <c r="F61" s="197" t="s">
        <v>29</v>
      </c>
      <c r="G61" s="199">
        <v>4</v>
      </c>
      <c r="H61" s="203">
        <v>18.899999999999999</v>
      </c>
      <c r="I61" s="199" t="s">
        <v>1193</v>
      </c>
      <c r="J61" s="199">
        <f>0.3242*H61*G61</f>
        <v>24.509519999999998</v>
      </c>
      <c r="K61" s="199">
        <f>0.6758*H61*G61</f>
        <v>51.090479999999992</v>
      </c>
      <c r="L61" s="199"/>
      <c r="M61" s="199"/>
      <c r="N61" s="199"/>
      <c r="O61" s="199"/>
      <c r="P61" s="199"/>
      <c r="Q61" s="199"/>
    </row>
    <row r="62" spans="1:18" s="189" customFormat="1" ht="30" x14ac:dyDescent="0.25">
      <c r="A62" s="252" t="s">
        <v>877</v>
      </c>
      <c r="B62" s="201" t="s">
        <v>62</v>
      </c>
      <c r="C62" s="205"/>
      <c r="D62" s="201"/>
      <c r="E62" s="204" t="s">
        <v>75</v>
      </c>
      <c r="F62" s="201" t="s">
        <v>1215</v>
      </c>
      <c r="G62" s="203">
        <v>1</v>
      </c>
      <c r="H62" s="339">
        <f>'MAPA COTAÇÕES CIVIL'!$H$8</f>
        <v>463.2166666666667</v>
      </c>
      <c r="I62" s="203" t="s">
        <v>1193</v>
      </c>
      <c r="J62" s="203">
        <f>G62*H62</f>
        <v>463.2166666666667</v>
      </c>
      <c r="K62" s="203"/>
      <c r="L62" s="203"/>
      <c r="M62" s="203"/>
      <c r="N62" s="203"/>
      <c r="O62" s="203"/>
      <c r="P62" s="203"/>
      <c r="Q62" s="203"/>
      <c r="R62" s="25"/>
    </row>
    <row r="63" spans="1:18" s="25" customFormat="1" x14ac:dyDescent="0.25">
      <c r="A63" s="159"/>
      <c r="B63" s="160"/>
      <c r="C63" s="160"/>
      <c r="D63" s="160"/>
      <c r="E63" s="161"/>
      <c r="F63" s="160"/>
      <c r="G63" s="162"/>
      <c r="H63" s="162"/>
      <c r="I63" s="162" t="s">
        <v>1193</v>
      </c>
      <c r="J63" s="162"/>
      <c r="K63" s="162"/>
      <c r="L63" s="162"/>
      <c r="M63" s="162"/>
      <c r="N63" s="162"/>
      <c r="O63" s="162"/>
      <c r="P63" s="162"/>
      <c r="Q63" s="162"/>
    </row>
    <row r="64" spans="1:18" s="25" customFormat="1" ht="15.75" x14ac:dyDescent="0.25">
      <c r="A64" s="136"/>
      <c r="B64" s="97"/>
      <c r="C64" s="97"/>
      <c r="D64" s="97">
        <v>2</v>
      </c>
      <c r="E64" s="98" t="s">
        <v>76</v>
      </c>
      <c r="F64" s="97"/>
      <c r="G64" s="97"/>
      <c r="H64" s="330"/>
      <c r="I64" s="97" t="s">
        <v>1193</v>
      </c>
      <c r="J64" s="330"/>
      <c r="K64" s="330"/>
      <c r="L64" s="330"/>
      <c r="M64" s="330"/>
      <c r="N64" s="330"/>
      <c r="O64" s="330"/>
      <c r="P64" s="330"/>
      <c r="Q64" s="330">
        <f>SUM(Q66:Q106)</f>
        <v>689.70236907847584</v>
      </c>
    </row>
    <row r="65" spans="1:18" s="189" customFormat="1" ht="15.75" x14ac:dyDescent="0.25">
      <c r="A65" s="183"/>
      <c r="B65" s="184"/>
      <c r="C65" s="184"/>
      <c r="D65" s="185"/>
      <c r="E65" s="186" t="s">
        <v>77</v>
      </c>
      <c r="F65" s="185"/>
      <c r="G65" s="187"/>
      <c r="H65" s="188"/>
      <c r="I65" s="187" t="s">
        <v>1193</v>
      </c>
      <c r="J65" s="187"/>
      <c r="K65" s="187"/>
      <c r="L65" s="187"/>
      <c r="M65" s="187"/>
      <c r="N65" s="187"/>
      <c r="O65" s="187"/>
      <c r="P65" s="188"/>
      <c r="Q65" s="188"/>
      <c r="R65" s="25"/>
    </row>
    <row r="66" spans="1:18" s="25" customFormat="1" ht="45" x14ac:dyDescent="0.25">
      <c r="A66" s="142" t="s">
        <v>35</v>
      </c>
      <c r="B66" s="143"/>
      <c r="C66" s="148" t="s">
        <v>78</v>
      </c>
      <c r="D66" s="143" t="s">
        <v>79</v>
      </c>
      <c r="E66" s="144" t="s">
        <v>80</v>
      </c>
      <c r="F66" s="143" t="s">
        <v>33</v>
      </c>
      <c r="G66" s="145"/>
      <c r="H66" s="146"/>
      <c r="I66" s="146">
        <v>0.67</v>
      </c>
      <c r="J66" s="146">
        <f>SUM(J67:J68)</f>
        <v>119.93</v>
      </c>
      <c r="K66" s="146">
        <f>SUM(K67:K68)</f>
        <v>19.940000000000001</v>
      </c>
      <c r="L66" s="146">
        <f>J66+K66</f>
        <v>139.87</v>
      </c>
      <c r="M66" s="146">
        <f>J66*I66</f>
        <v>80.353100000000012</v>
      </c>
      <c r="N66" s="146">
        <f>K66*I66</f>
        <v>13.359800000000002</v>
      </c>
      <c r="O66" s="146">
        <f>M66+N66</f>
        <v>93.712900000000019</v>
      </c>
      <c r="P66" s="146">
        <f>O66*$P$1</f>
        <v>24.046730140000005</v>
      </c>
      <c r="Q66" s="146">
        <f>P66+O66</f>
        <v>117.75963014000003</v>
      </c>
    </row>
    <row r="67" spans="1:18" s="25" customFormat="1" x14ac:dyDescent="0.25">
      <c r="A67" s="196" t="s">
        <v>35</v>
      </c>
      <c r="B67" s="197" t="s">
        <v>62</v>
      </c>
      <c r="C67" s="197" t="s">
        <v>78</v>
      </c>
      <c r="D67" s="197"/>
      <c r="E67" s="198" t="s">
        <v>81</v>
      </c>
      <c r="F67" s="197" t="s">
        <v>33</v>
      </c>
      <c r="G67" s="199">
        <v>1</v>
      </c>
      <c r="H67" s="203">
        <v>19.940000000000001</v>
      </c>
      <c r="I67" s="199" t="s">
        <v>1193</v>
      </c>
      <c r="J67" s="199"/>
      <c r="K67" s="199">
        <f>H67*G67</f>
        <v>19.940000000000001</v>
      </c>
      <c r="L67" s="199"/>
      <c r="M67" s="199"/>
      <c r="N67" s="199"/>
      <c r="O67" s="199"/>
      <c r="P67" s="199"/>
      <c r="Q67" s="199"/>
    </row>
    <row r="68" spans="1:18" s="25" customFormat="1" ht="30" x14ac:dyDescent="0.25">
      <c r="A68" s="200" t="s">
        <v>35</v>
      </c>
      <c r="B68" s="201" t="s">
        <v>62</v>
      </c>
      <c r="C68" s="201" t="s">
        <v>78</v>
      </c>
      <c r="D68" s="201"/>
      <c r="E68" s="204" t="s">
        <v>82</v>
      </c>
      <c r="F68" s="201" t="s">
        <v>33</v>
      </c>
      <c r="G68" s="203">
        <v>1</v>
      </c>
      <c r="H68" s="203">
        <v>119.93</v>
      </c>
      <c r="I68" s="203" t="s">
        <v>1193</v>
      </c>
      <c r="J68" s="203">
        <f>H68*G68</f>
        <v>119.93</v>
      </c>
      <c r="K68" s="203"/>
      <c r="L68" s="203"/>
      <c r="M68" s="203"/>
      <c r="N68" s="203"/>
      <c r="O68" s="203"/>
      <c r="P68" s="203"/>
      <c r="Q68" s="203"/>
    </row>
    <row r="69" spans="1:18" s="189" customFormat="1" x14ac:dyDescent="0.25">
      <c r="A69" s="159"/>
      <c r="B69" s="160"/>
      <c r="C69" s="160"/>
      <c r="D69" s="160"/>
      <c r="E69" s="161"/>
      <c r="F69" s="160"/>
      <c r="G69" s="162"/>
      <c r="H69" s="162"/>
      <c r="I69" s="162" t="s">
        <v>1193</v>
      </c>
      <c r="J69" s="162"/>
      <c r="K69" s="162"/>
      <c r="L69" s="162"/>
      <c r="M69" s="162"/>
      <c r="N69" s="162"/>
      <c r="O69" s="162"/>
      <c r="P69" s="162"/>
      <c r="Q69" s="162"/>
      <c r="R69" s="25"/>
    </row>
    <row r="70" spans="1:18" s="25" customFormat="1" ht="45" x14ac:dyDescent="0.25">
      <c r="A70" s="142" t="s">
        <v>35</v>
      </c>
      <c r="B70" s="143"/>
      <c r="C70" s="148" t="s">
        <v>83</v>
      </c>
      <c r="D70" s="143" t="s">
        <v>84</v>
      </c>
      <c r="E70" s="144" t="s">
        <v>85</v>
      </c>
      <c r="F70" s="143" t="s">
        <v>33</v>
      </c>
      <c r="G70" s="145"/>
      <c r="H70" s="146"/>
      <c r="I70" s="146">
        <v>0.67</v>
      </c>
      <c r="J70" s="146">
        <f>SUM(J71:J72)</f>
        <v>213.01</v>
      </c>
      <c r="K70" s="146">
        <f>SUM(K71:K72)</f>
        <v>19.940000000000001</v>
      </c>
      <c r="L70" s="146">
        <f>J70+K70</f>
        <v>232.95</v>
      </c>
      <c r="M70" s="146">
        <f>J70*I70</f>
        <v>142.7167</v>
      </c>
      <c r="N70" s="146">
        <f>K70*I70</f>
        <v>13.359800000000002</v>
      </c>
      <c r="O70" s="146">
        <f>M70+N70</f>
        <v>156.07650000000001</v>
      </c>
      <c r="P70" s="146">
        <f>O70*$P$1</f>
        <v>40.0492299</v>
      </c>
      <c r="Q70" s="146">
        <f>P70+O70</f>
        <v>196.12572990000001</v>
      </c>
    </row>
    <row r="71" spans="1:18" s="25" customFormat="1" x14ac:dyDescent="0.25">
      <c r="A71" s="196" t="s">
        <v>35</v>
      </c>
      <c r="B71" s="197" t="s">
        <v>62</v>
      </c>
      <c r="C71" s="206" t="s">
        <v>83</v>
      </c>
      <c r="D71" s="197"/>
      <c r="E71" s="198" t="s">
        <v>81</v>
      </c>
      <c r="F71" s="197" t="s">
        <v>33</v>
      </c>
      <c r="G71" s="199">
        <v>1</v>
      </c>
      <c r="H71" s="203">
        <v>19.940000000000001</v>
      </c>
      <c r="I71" s="199" t="s">
        <v>1193</v>
      </c>
      <c r="J71" s="199"/>
      <c r="K71" s="199">
        <f>H71*G71</f>
        <v>19.940000000000001</v>
      </c>
      <c r="L71" s="199"/>
      <c r="M71" s="199"/>
      <c r="N71" s="199"/>
      <c r="O71" s="199"/>
      <c r="P71" s="199"/>
      <c r="Q71" s="199"/>
    </row>
    <row r="72" spans="1:18" s="25" customFormat="1" ht="30" x14ac:dyDescent="0.25">
      <c r="A72" s="200" t="s">
        <v>35</v>
      </c>
      <c r="B72" s="201" t="s">
        <v>62</v>
      </c>
      <c r="C72" s="201" t="s">
        <v>83</v>
      </c>
      <c r="D72" s="201"/>
      <c r="E72" s="204" t="s">
        <v>86</v>
      </c>
      <c r="F72" s="201" t="s">
        <v>33</v>
      </c>
      <c r="G72" s="203">
        <v>1</v>
      </c>
      <c r="H72" s="203">
        <v>213.01</v>
      </c>
      <c r="I72" s="203" t="s">
        <v>1193</v>
      </c>
      <c r="J72" s="203">
        <f>H72*G72</f>
        <v>213.01</v>
      </c>
      <c r="K72" s="203"/>
      <c r="L72" s="203"/>
      <c r="M72" s="203"/>
      <c r="N72" s="203"/>
      <c r="O72" s="203"/>
      <c r="P72" s="203"/>
      <c r="Q72" s="203"/>
    </row>
    <row r="73" spans="1:18" s="189" customFormat="1" x14ac:dyDescent="0.25">
      <c r="A73" s="159"/>
      <c r="B73" s="160"/>
      <c r="C73" s="160"/>
      <c r="D73" s="160"/>
      <c r="E73" s="161"/>
      <c r="F73" s="160"/>
      <c r="G73" s="162"/>
      <c r="H73" s="162"/>
      <c r="I73" s="162" t="s">
        <v>1193</v>
      </c>
      <c r="J73" s="162"/>
      <c r="K73" s="162"/>
      <c r="L73" s="162"/>
      <c r="M73" s="162"/>
      <c r="N73" s="162"/>
      <c r="O73" s="162"/>
      <c r="P73" s="162"/>
      <c r="Q73" s="162"/>
      <c r="R73" s="25"/>
    </row>
    <row r="74" spans="1:18" s="25" customFormat="1" ht="34.15" customHeight="1" x14ac:dyDescent="0.25">
      <c r="A74" s="142" t="s">
        <v>22</v>
      </c>
      <c r="B74" s="143"/>
      <c r="C74" s="143">
        <v>96360</v>
      </c>
      <c r="D74" s="143" t="s">
        <v>87</v>
      </c>
      <c r="E74" s="144" t="s">
        <v>88</v>
      </c>
      <c r="F74" s="143" t="s">
        <v>33</v>
      </c>
      <c r="G74" s="145"/>
      <c r="H74" s="146"/>
      <c r="I74" s="146">
        <v>0.67</v>
      </c>
      <c r="J74" s="146">
        <f>SUM(J75:J85)</f>
        <v>88.249257303000007</v>
      </c>
      <c r="K74" s="146">
        <f>SUM(K75:K85)</f>
        <v>14.063493582900001</v>
      </c>
      <c r="L74" s="146">
        <f>J74+K74</f>
        <v>102.31275088590002</v>
      </c>
      <c r="M74" s="146">
        <f>J74*I74</f>
        <v>59.127002393010009</v>
      </c>
      <c r="N74" s="146">
        <f>K74*I74</f>
        <v>9.4225407005430011</v>
      </c>
      <c r="O74" s="146">
        <f>M74+N74</f>
        <v>68.549543093553012</v>
      </c>
      <c r="P74" s="146">
        <f>O74*$P$1</f>
        <v>17.589812757805703</v>
      </c>
      <c r="Q74" s="146">
        <f>P74+O74</f>
        <v>86.139355851358715</v>
      </c>
    </row>
    <row r="75" spans="1:18" s="25" customFormat="1" x14ac:dyDescent="0.25">
      <c r="A75" s="196" t="s">
        <v>22</v>
      </c>
      <c r="B75" s="197" t="s">
        <v>27</v>
      </c>
      <c r="C75" s="197">
        <v>88278</v>
      </c>
      <c r="D75" s="197"/>
      <c r="E75" s="198" t="s">
        <v>43</v>
      </c>
      <c r="F75" s="197" t="s">
        <v>29</v>
      </c>
      <c r="G75" s="199">
        <v>0.69010000000000005</v>
      </c>
      <c r="H75" s="199">
        <v>22.41</v>
      </c>
      <c r="I75" s="199" t="s">
        <v>1193</v>
      </c>
      <c r="J75" s="199">
        <f>0.233*G75*H75</f>
        <v>3.6033778530000005</v>
      </c>
      <c r="K75" s="199">
        <f>0.7669*H75*G75</f>
        <v>11.860216632900002</v>
      </c>
      <c r="L75" s="199"/>
      <c r="M75" s="199"/>
      <c r="N75" s="199"/>
      <c r="O75" s="199"/>
      <c r="P75" s="199"/>
      <c r="Q75" s="199"/>
    </row>
    <row r="76" spans="1:18" s="25" customFormat="1" x14ac:dyDescent="0.25">
      <c r="A76" s="200" t="s">
        <v>22</v>
      </c>
      <c r="B76" s="201" t="s">
        <v>27</v>
      </c>
      <c r="C76" s="201">
        <v>88316</v>
      </c>
      <c r="D76" s="201"/>
      <c r="E76" s="204" t="s">
        <v>30</v>
      </c>
      <c r="F76" s="201" t="s">
        <v>29</v>
      </c>
      <c r="G76" s="203">
        <v>0.17249999999999999</v>
      </c>
      <c r="H76" s="203">
        <v>18.899999999999999</v>
      </c>
      <c r="I76" s="203" t="s">
        <v>1193</v>
      </c>
      <c r="J76" s="203">
        <f>0.3242*H76*G76</f>
        <v>1.0569730499999999</v>
      </c>
      <c r="K76" s="203">
        <f>0.6758*H76*G76</f>
        <v>2.2032769499999993</v>
      </c>
      <c r="L76" s="203"/>
      <c r="M76" s="203"/>
      <c r="N76" s="203"/>
      <c r="O76" s="203"/>
      <c r="P76" s="203"/>
      <c r="Q76" s="203"/>
    </row>
    <row r="77" spans="1:18" s="25" customFormat="1" ht="30" x14ac:dyDescent="0.25">
      <c r="A77" s="196" t="s">
        <v>22</v>
      </c>
      <c r="B77" s="197" t="s">
        <v>62</v>
      </c>
      <c r="C77" s="197">
        <v>37586</v>
      </c>
      <c r="D77" s="197"/>
      <c r="E77" s="207" t="s">
        <v>89</v>
      </c>
      <c r="F77" s="197" t="s">
        <v>90</v>
      </c>
      <c r="G77" s="199">
        <v>4.8000000000000001E-2</v>
      </c>
      <c r="H77" s="203">
        <v>44.805</v>
      </c>
      <c r="I77" s="199" t="s">
        <v>1193</v>
      </c>
      <c r="J77" s="199">
        <f t="shared" ref="J77:J85" si="0">G77*H77</f>
        <v>2.1506400000000001</v>
      </c>
      <c r="K77" s="199"/>
      <c r="L77" s="199"/>
      <c r="M77" s="199"/>
      <c r="N77" s="199"/>
      <c r="O77" s="199"/>
      <c r="P77" s="199"/>
      <c r="Q77" s="199"/>
    </row>
    <row r="78" spans="1:18" s="25" customFormat="1" ht="30" x14ac:dyDescent="0.25">
      <c r="A78" s="200" t="s">
        <v>22</v>
      </c>
      <c r="B78" s="201" t="s">
        <v>62</v>
      </c>
      <c r="C78" s="201">
        <v>39413</v>
      </c>
      <c r="D78" s="201"/>
      <c r="E78" s="204" t="s">
        <v>91</v>
      </c>
      <c r="F78" s="201" t="s">
        <v>33</v>
      </c>
      <c r="G78" s="203">
        <v>2.1059999999999999</v>
      </c>
      <c r="H78" s="203">
        <v>13.36</v>
      </c>
      <c r="I78" s="203" t="s">
        <v>1193</v>
      </c>
      <c r="J78" s="203">
        <f t="shared" si="0"/>
        <v>28.136159999999997</v>
      </c>
      <c r="K78" s="203"/>
      <c r="L78" s="203"/>
      <c r="M78" s="203"/>
      <c r="N78" s="203"/>
      <c r="O78" s="203"/>
      <c r="P78" s="203"/>
      <c r="Q78" s="203"/>
    </row>
    <row r="79" spans="1:18" s="25" customFormat="1" ht="30" x14ac:dyDescent="0.25">
      <c r="A79" s="196" t="s">
        <v>22</v>
      </c>
      <c r="B79" s="197" t="s">
        <v>62</v>
      </c>
      <c r="C79" s="197">
        <v>39419</v>
      </c>
      <c r="D79" s="197"/>
      <c r="E79" s="332" t="s">
        <v>92</v>
      </c>
      <c r="F79" s="197" t="s">
        <v>39</v>
      </c>
      <c r="G79" s="199">
        <v>1.5208999999999999</v>
      </c>
      <c r="H79" s="203">
        <v>7.54</v>
      </c>
      <c r="I79" s="199" t="s">
        <v>1193</v>
      </c>
      <c r="J79" s="199">
        <f t="shared" si="0"/>
        <v>11.467585999999999</v>
      </c>
      <c r="K79" s="199"/>
      <c r="L79" s="199"/>
      <c r="M79" s="199"/>
      <c r="N79" s="199"/>
      <c r="O79" s="199"/>
      <c r="P79" s="199"/>
      <c r="Q79" s="199"/>
    </row>
    <row r="80" spans="1:18" s="25" customFormat="1" ht="30" x14ac:dyDescent="0.25">
      <c r="A80" s="200" t="s">
        <v>22</v>
      </c>
      <c r="B80" s="201" t="s">
        <v>62</v>
      </c>
      <c r="C80" s="201">
        <v>39422</v>
      </c>
      <c r="D80" s="201"/>
      <c r="E80" s="204" t="s">
        <v>93</v>
      </c>
      <c r="F80" s="201" t="s">
        <v>39</v>
      </c>
      <c r="G80" s="203">
        <v>3.9809999999999999</v>
      </c>
      <c r="H80" s="203">
        <v>8.56</v>
      </c>
      <c r="I80" s="203" t="s">
        <v>1193</v>
      </c>
      <c r="J80" s="203">
        <f t="shared" si="0"/>
        <v>34.077359999999999</v>
      </c>
      <c r="K80" s="203"/>
      <c r="L80" s="203"/>
      <c r="M80" s="203"/>
      <c r="N80" s="203"/>
      <c r="O80" s="203"/>
      <c r="P80" s="203"/>
      <c r="Q80" s="203"/>
    </row>
    <row r="81" spans="1:18" s="25" customFormat="1" ht="30" x14ac:dyDescent="0.25">
      <c r="A81" s="196" t="s">
        <v>22</v>
      </c>
      <c r="B81" s="197" t="s">
        <v>62</v>
      </c>
      <c r="C81" s="197">
        <v>39431</v>
      </c>
      <c r="D81" s="197"/>
      <c r="E81" s="207" t="s">
        <v>94</v>
      </c>
      <c r="F81" s="197" t="s">
        <v>39</v>
      </c>
      <c r="G81" s="199">
        <v>2.5</v>
      </c>
      <c r="H81" s="203">
        <v>0.14899999999999999</v>
      </c>
      <c r="I81" s="199" t="s">
        <v>1193</v>
      </c>
      <c r="J81" s="199">
        <f t="shared" si="0"/>
        <v>0.3725</v>
      </c>
      <c r="K81" s="199"/>
      <c r="L81" s="199"/>
      <c r="M81" s="199"/>
      <c r="N81" s="199"/>
      <c r="O81" s="199"/>
      <c r="P81" s="199"/>
      <c r="Q81" s="199"/>
    </row>
    <row r="82" spans="1:18" s="25" customFormat="1" ht="30" x14ac:dyDescent="0.25">
      <c r="A82" s="200" t="s">
        <v>22</v>
      </c>
      <c r="B82" s="201" t="s">
        <v>62</v>
      </c>
      <c r="C82" s="201">
        <v>39432</v>
      </c>
      <c r="D82" s="201"/>
      <c r="E82" s="204" t="s">
        <v>95</v>
      </c>
      <c r="F82" s="201" t="s">
        <v>39</v>
      </c>
      <c r="G82" s="203">
        <v>1.48</v>
      </c>
      <c r="H82" s="212">
        <v>1.98</v>
      </c>
      <c r="I82" s="203" t="s">
        <v>1193</v>
      </c>
      <c r="J82" s="203">
        <f t="shared" si="0"/>
        <v>2.9304000000000001</v>
      </c>
      <c r="K82" s="203"/>
      <c r="L82" s="203"/>
      <c r="M82" s="203"/>
      <c r="N82" s="203"/>
      <c r="O82" s="203"/>
      <c r="P82" s="203"/>
      <c r="Q82" s="203"/>
    </row>
    <row r="83" spans="1:18" s="25" customFormat="1" ht="30" x14ac:dyDescent="0.25">
      <c r="A83" s="196" t="s">
        <v>22</v>
      </c>
      <c r="B83" s="197" t="s">
        <v>62</v>
      </c>
      <c r="C83" s="197">
        <v>39434</v>
      </c>
      <c r="D83" s="197"/>
      <c r="E83" s="207" t="s">
        <v>96</v>
      </c>
      <c r="F83" s="197" t="s">
        <v>64</v>
      </c>
      <c r="G83" s="199">
        <v>1.03</v>
      </c>
      <c r="H83" s="199">
        <v>2.63</v>
      </c>
      <c r="I83" s="199" t="s">
        <v>1193</v>
      </c>
      <c r="J83" s="199">
        <f t="shared" si="0"/>
        <v>2.7088999999999999</v>
      </c>
      <c r="K83" s="199"/>
      <c r="L83" s="199"/>
      <c r="M83" s="199"/>
      <c r="N83" s="199"/>
      <c r="O83" s="199"/>
      <c r="P83" s="199"/>
      <c r="Q83" s="199"/>
    </row>
    <row r="84" spans="1:18" s="25" customFormat="1" ht="30" x14ac:dyDescent="0.25">
      <c r="A84" s="200" t="s">
        <v>22</v>
      </c>
      <c r="B84" s="201" t="s">
        <v>62</v>
      </c>
      <c r="C84" s="201">
        <v>39435</v>
      </c>
      <c r="D84" s="201"/>
      <c r="E84" s="204" t="s">
        <v>97</v>
      </c>
      <c r="F84" s="201" t="s">
        <v>1215</v>
      </c>
      <c r="G84" s="203">
        <v>20.010000000000002</v>
      </c>
      <c r="H84" s="203">
        <v>0.08</v>
      </c>
      <c r="I84" s="203" t="s">
        <v>1193</v>
      </c>
      <c r="J84" s="203">
        <f t="shared" si="0"/>
        <v>1.6008000000000002</v>
      </c>
      <c r="K84" s="203"/>
      <c r="L84" s="203"/>
      <c r="M84" s="203"/>
      <c r="N84" s="203"/>
      <c r="O84" s="203"/>
      <c r="P84" s="203"/>
      <c r="Q84" s="203"/>
    </row>
    <row r="85" spans="1:18" s="25" customFormat="1" ht="30" x14ac:dyDescent="0.25">
      <c r="A85" s="196" t="s">
        <v>22</v>
      </c>
      <c r="B85" s="197" t="s">
        <v>62</v>
      </c>
      <c r="C85" s="197">
        <v>39443</v>
      </c>
      <c r="D85" s="197"/>
      <c r="E85" s="207" t="s">
        <v>98</v>
      </c>
      <c r="F85" s="197" t="s">
        <v>1215</v>
      </c>
      <c r="G85" s="199">
        <v>0.80759999999999998</v>
      </c>
      <c r="H85" s="199">
        <v>0.17899999999999999</v>
      </c>
      <c r="I85" s="199" t="s">
        <v>1193</v>
      </c>
      <c r="J85" s="199">
        <f t="shared" si="0"/>
        <v>0.14456039999999998</v>
      </c>
      <c r="K85" s="199"/>
      <c r="L85" s="199"/>
      <c r="M85" s="199"/>
      <c r="N85" s="199"/>
      <c r="O85" s="199"/>
      <c r="P85" s="199"/>
      <c r="Q85" s="199"/>
    </row>
    <row r="86" spans="1:18" s="189" customFormat="1" x14ac:dyDescent="0.25">
      <c r="A86" s="163"/>
      <c r="B86" s="101"/>
      <c r="C86" s="101"/>
      <c r="D86" s="101"/>
      <c r="E86" s="102"/>
      <c r="F86" s="101"/>
      <c r="G86" s="96"/>
      <c r="H86" s="96"/>
      <c r="I86" s="96" t="s">
        <v>1193</v>
      </c>
      <c r="J86" s="96"/>
      <c r="K86" s="96"/>
      <c r="L86" s="96"/>
      <c r="M86" s="96"/>
      <c r="N86" s="96"/>
      <c r="O86" s="96"/>
      <c r="P86" s="96"/>
      <c r="Q86" s="96"/>
      <c r="R86" s="25"/>
    </row>
    <row r="87" spans="1:18" s="25" customFormat="1" ht="69.599999999999994" customHeight="1" x14ac:dyDescent="0.25">
      <c r="A87" s="142" t="s">
        <v>35</v>
      </c>
      <c r="B87" s="143"/>
      <c r="C87" s="148" t="s">
        <v>99</v>
      </c>
      <c r="D87" s="143" t="s">
        <v>100</v>
      </c>
      <c r="E87" s="144" t="s">
        <v>101</v>
      </c>
      <c r="F87" s="143" t="s">
        <v>33</v>
      </c>
      <c r="G87" s="145"/>
      <c r="H87" s="146"/>
      <c r="I87" s="146">
        <v>0.67</v>
      </c>
      <c r="J87" s="146">
        <f>SUM(J88:J89)</f>
        <v>93.4</v>
      </c>
      <c r="K87" s="146">
        <f>SUM(K88:K89)</f>
        <v>0</v>
      </c>
      <c r="L87" s="146">
        <f>J87+K87</f>
        <v>93.4</v>
      </c>
      <c r="M87" s="146">
        <f>J87*I87</f>
        <v>62.57800000000001</v>
      </c>
      <c r="N87" s="146">
        <f>K87*I87</f>
        <v>0</v>
      </c>
      <c r="O87" s="146">
        <f>M87+N87</f>
        <v>62.57800000000001</v>
      </c>
      <c r="P87" s="146">
        <f>O87*$P$1</f>
        <v>16.057514800000003</v>
      </c>
      <c r="Q87" s="146">
        <f>P87+O87</f>
        <v>78.63551480000001</v>
      </c>
    </row>
    <row r="88" spans="1:18" s="25" customFormat="1" ht="30" x14ac:dyDescent="0.25">
      <c r="A88" s="200" t="s">
        <v>35</v>
      </c>
      <c r="B88" s="201" t="s">
        <v>27</v>
      </c>
      <c r="C88" s="201" t="s">
        <v>102</v>
      </c>
      <c r="D88" s="201"/>
      <c r="E88" s="204" t="s">
        <v>103</v>
      </c>
      <c r="F88" s="201" t="s">
        <v>33</v>
      </c>
      <c r="G88" s="203">
        <v>1</v>
      </c>
      <c r="H88" s="203">
        <v>93.4</v>
      </c>
      <c r="I88" s="203" t="s">
        <v>1193</v>
      </c>
      <c r="J88" s="203">
        <f>H88*G88</f>
        <v>93.4</v>
      </c>
      <c r="K88" s="203"/>
      <c r="L88" s="203"/>
      <c r="M88" s="203"/>
      <c r="N88" s="203"/>
      <c r="O88" s="203"/>
      <c r="P88" s="203"/>
      <c r="Q88" s="203"/>
    </row>
    <row r="89" spans="1:18" s="189" customFormat="1" x14ac:dyDescent="0.25">
      <c r="A89" s="159"/>
      <c r="B89" s="160"/>
      <c r="C89" s="160"/>
      <c r="D89" s="160"/>
      <c r="E89" s="161"/>
      <c r="F89" s="160"/>
      <c r="G89" s="162"/>
      <c r="H89" s="162"/>
      <c r="I89" s="162" t="s">
        <v>1193</v>
      </c>
      <c r="J89" s="162"/>
      <c r="K89" s="162"/>
      <c r="L89" s="162"/>
      <c r="M89" s="162"/>
      <c r="N89" s="162"/>
      <c r="O89" s="162"/>
      <c r="P89" s="162"/>
      <c r="Q89" s="162"/>
      <c r="R89" s="25"/>
    </row>
    <row r="90" spans="1:18" s="25" customFormat="1" ht="30" x14ac:dyDescent="0.25">
      <c r="A90" s="142" t="s">
        <v>22</v>
      </c>
      <c r="B90" s="143"/>
      <c r="C90" s="143">
        <v>96372</v>
      </c>
      <c r="D90" s="143" t="s">
        <v>104</v>
      </c>
      <c r="E90" s="144" t="s">
        <v>105</v>
      </c>
      <c r="F90" s="143" t="s">
        <v>33</v>
      </c>
      <c r="G90" s="145"/>
      <c r="H90" s="146"/>
      <c r="I90" s="146">
        <v>0.67</v>
      </c>
      <c r="J90" s="146">
        <f>SUM(J91:J93)</f>
        <v>29.719229500000001</v>
      </c>
      <c r="K90" s="146">
        <f>SUM(K91:K93)</f>
        <v>1.385798112</v>
      </c>
      <c r="L90" s="146">
        <f>J90+K90</f>
        <v>31.105027612000001</v>
      </c>
      <c r="M90" s="146">
        <f>J90*I90</f>
        <v>19.911883765000002</v>
      </c>
      <c r="N90" s="146">
        <f>K90*I90</f>
        <v>0.92848473504000006</v>
      </c>
      <c r="O90" s="146">
        <f>M90+N90</f>
        <v>20.840368500040004</v>
      </c>
      <c r="P90" s="146">
        <f>O90*$P$1</f>
        <v>5.3476385571102645</v>
      </c>
      <c r="Q90" s="146">
        <f>P90+O90</f>
        <v>26.188007057150269</v>
      </c>
    </row>
    <row r="91" spans="1:18" s="25" customFormat="1" x14ac:dyDescent="0.25">
      <c r="A91" s="196" t="s">
        <v>22</v>
      </c>
      <c r="B91" s="197" t="s">
        <v>27</v>
      </c>
      <c r="C91" s="197">
        <v>88316</v>
      </c>
      <c r="D91" s="197"/>
      <c r="E91" s="198" t="s">
        <v>30</v>
      </c>
      <c r="F91" s="197" t="s">
        <v>29</v>
      </c>
      <c r="G91" s="199">
        <v>1.7000000000000001E-2</v>
      </c>
      <c r="H91" s="203">
        <v>18.899999999999999</v>
      </c>
      <c r="I91" s="199" t="s">
        <v>1193</v>
      </c>
      <c r="J91" s="199">
        <f>0.3242*H91*G91</f>
        <v>0.10416546</v>
      </c>
      <c r="K91" s="199">
        <f>0.6758*H91*G91</f>
        <v>0.21713453999999999</v>
      </c>
      <c r="L91" s="199"/>
      <c r="M91" s="199"/>
      <c r="N91" s="199"/>
      <c r="O91" s="199"/>
      <c r="P91" s="199"/>
      <c r="Q91" s="199"/>
    </row>
    <row r="92" spans="1:18" s="25" customFormat="1" x14ac:dyDescent="0.25">
      <c r="A92" s="200" t="s">
        <v>22</v>
      </c>
      <c r="B92" s="201" t="s">
        <v>27</v>
      </c>
      <c r="C92" s="201">
        <v>88278</v>
      </c>
      <c r="D92" s="201"/>
      <c r="E92" s="202" t="s">
        <v>106</v>
      </c>
      <c r="F92" s="201" t="s">
        <v>29</v>
      </c>
      <c r="G92" s="203">
        <v>6.8000000000000005E-2</v>
      </c>
      <c r="H92" s="203">
        <v>22.41</v>
      </c>
      <c r="I92" s="203" t="s">
        <v>1193</v>
      </c>
      <c r="J92" s="203">
        <f>0.233*G92*H92</f>
        <v>0.35506404000000003</v>
      </c>
      <c r="K92" s="203">
        <f>0.7669*H92*G92</f>
        <v>1.168663572</v>
      </c>
      <c r="L92" s="203"/>
      <c r="M92" s="203"/>
      <c r="N92" s="203"/>
      <c r="O92" s="203"/>
      <c r="P92" s="203"/>
      <c r="Q92" s="203"/>
    </row>
    <row r="93" spans="1:18" s="25" customFormat="1" ht="30" x14ac:dyDescent="0.25">
      <c r="A93" s="196" t="s">
        <v>22</v>
      </c>
      <c r="B93" s="197" t="s">
        <v>62</v>
      </c>
      <c r="C93" s="197">
        <v>42481</v>
      </c>
      <c r="D93" s="197"/>
      <c r="E93" s="332" t="s">
        <v>107</v>
      </c>
      <c r="F93" s="197" t="s">
        <v>33</v>
      </c>
      <c r="G93" s="199">
        <v>1</v>
      </c>
      <c r="H93" s="199">
        <v>29.26</v>
      </c>
      <c r="I93" s="199" t="s">
        <v>1193</v>
      </c>
      <c r="J93" s="199">
        <f>H93*G93</f>
        <v>29.26</v>
      </c>
      <c r="K93" s="199"/>
      <c r="L93" s="199"/>
      <c r="M93" s="199"/>
      <c r="N93" s="199"/>
      <c r="O93" s="199"/>
      <c r="P93" s="199"/>
      <c r="Q93" s="199"/>
    </row>
    <row r="94" spans="1:18" s="189" customFormat="1" x14ac:dyDescent="0.25">
      <c r="A94" s="163"/>
      <c r="B94" s="101"/>
      <c r="C94" s="101"/>
      <c r="D94" s="101"/>
      <c r="E94" s="102"/>
      <c r="F94" s="101"/>
      <c r="G94" s="96"/>
      <c r="H94" s="96"/>
      <c r="I94" s="96" t="s">
        <v>1193</v>
      </c>
      <c r="J94" s="96"/>
      <c r="K94" s="96"/>
      <c r="L94" s="96"/>
      <c r="M94" s="96"/>
      <c r="N94" s="96"/>
      <c r="O94" s="96"/>
      <c r="P94" s="96"/>
      <c r="Q94" s="96"/>
      <c r="R94" s="25"/>
    </row>
    <row r="95" spans="1:18" s="25" customFormat="1" ht="81.599999999999994" customHeight="1" x14ac:dyDescent="0.25">
      <c r="A95" s="142" t="s">
        <v>22</v>
      </c>
      <c r="B95" s="143"/>
      <c r="C95" s="143">
        <v>87475</v>
      </c>
      <c r="D95" s="143" t="s">
        <v>108</v>
      </c>
      <c r="E95" s="144" t="s">
        <v>109</v>
      </c>
      <c r="F95" s="143" t="s">
        <v>33</v>
      </c>
      <c r="G95" s="145"/>
      <c r="H95" s="146"/>
      <c r="I95" s="146">
        <v>0.67</v>
      </c>
      <c r="J95" s="146">
        <f>SUM(J96:J101)</f>
        <v>63.371179026000007</v>
      </c>
      <c r="K95" s="146">
        <f>SUM(K96:K101)</f>
        <v>25.195971983999996</v>
      </c>
      <c r="L95" s="146">
        <f>J95+K95</f>
        <v>88.567151010000003</v>
      </c>
      <c r="M95" s="146">
        <f>J95*I95</f>
        <v>42.458689947420005</v>
      </c>
      <c r="N95" s="146">
        <f>K95*I95</f>
        <v>16.881301229279998</v>
      </c>
      <c r="O95" s="146">
        <f>M95+N95</f>
        <v>59.339991176700003</v>
      </c>
      <c r="P95" s="146">
        <f>O95*$P$1</f>
        <v>15.22664173594122</v>
      </c>
      <c r="Q95" s="146">
        <f>P95+O95</f>
        <v>74.566632912641225</v>
      </c>
    </row>
    <row r="96" spans="1:18" s="25" customFormat="1" x14ac:dyDescent="0.25">
      <c r="A96" s="200" t="s">
        <v>22</v>
      </c>
      <c r="B96" s="201" t="s">
        <v>27</v>
      </c>
      <c r="C96" s="201">
        <v>88309</v>
      </c>
      <c r="D96" s="201"/>
      <c r="E96" s="202" t="s">
        <v>65</v>
      </c>
      <c r="F96" s="201" t="s">
        <v>29</v>
      </c>
      <c r="G96" s="203">
        <v>0.99</v>
      </c>
      <c r="H96" s="203">
        <v>24.51</v>
      </c>
      <c r="I96" s="203" t="s">
        <v>1193</v>
      </c>
      <c r="J96" s="203">
        <f>0.2565*H96*G96</f>
        <v>6.2239468500000008</v>
      </c>
      <c r="K96" s="203">
        <f>0.7434*H96*G96</f>
        <v>18.038526659999999</v>
      </c>
      <c r="L96" s="203"/>
      <c r="M96" s="203"/>
      <c r="N96" s="203"/>
      <c r="O96" s="203"/>
      <c r="P96" s="203"/>
      <c r="Q96" s="203"/>
    </row>
    <row r="97" spans="1:18" s="25" customFormat="1" x14ac:dyDescent="0.25">
      <c r="A97" s="196" t="s">
        <v>22</v>
      </c>
      <c r="B97" s="197" t="s">
        <v>27</v>
      </c>
      <c r="C97" s="197">
        <v>88316</v>
      </c>
      <c r="D97" s="197"/>
      <c r="E97" s="198" t="s">
        <v>30</v>
      </c>
      <c r="F97" s="197" t="s">
        <v>29</v>
      </c>
      <c r="G97" s="199">
        <v>0.495</v>
      </c>
      <c r="H97" s="203">
        <v>18.899999999999999</v>
      </c>
      <c r="I97" s="199" t="s">
        <v>1193</v>
      </c>
      <c r="J97" s="199">
        <f>0.3242*H97*G97</f>
        <v>3.0330530999999996</v>
      </c>
      <c r="K97" s="199">
        <f>0.6758*H97*G97</f>
        <v>6.3224468999999992</v>
      </c>
      <c r="L97" s="199"/>
      <c r="M97" s="199"/>
      <c r="N97" s="199"/>
      <c r="O97" s="199"/>
      <c r="P97" s="199"/>
      <c r="Q97" s="199"/>
    </row>
    <row r="98" spans="1:18" s="25" customFormat="1" ht="30" x14ac:dyDescent="0.25">
      <c r="A98" s="200" t="s">
        <v>22</v>
      </c>
      <c r="B98" s="201" t="s">
        <v>62</v>
      </c>
      <c r="C98" s="201">
        <v>37594</v>
      </c>
      <c r="D98" s="201"/>
      <c r="E98" s="204" t="s">
        <v>110</v>
      </c>
      <c r="F98" s="201" t="s">
        <v>1215</v>
      </c>
      <c r="G98" s="203">
        <v>13.348000000000001</v>
      </c>
      <c r="H98" s="203">
        <v>3.06</v>
      </c>
      <c r="I98" s="203" t="s">
        <v>1193</v>
      </c>
      <c r="J98" s="203">
        <f>H98*G98</f>
        <v>40.844880000000003</v>
      </c>
      <c r="K98" s="203"/>
      <c r="L98" s="203"/>
      <c r="M98" s="203"/>
      <c r="N98" s="203"/>
      <c r="O98" s="203"/>
      <c r="P98" s="203"/>
      <c r="Q98" s="203"/>
    </row>
    <row r="99" spans="1:18" s="25" customFormat="1" ht="45" x14ac:dyDescent="0.25">
      <c r="A99" s="196" t="s">
        <v>22</v>
      </c>
      <c r="B99" s="197" t="s">
        <v>27</v>
      </c>
      <c r="C99" s="197">
        <v>87292</v>
      </c>
      <c r="D99" s="197"/>
      <c r="E99" s="207" t="s">
        <v>112</v>
      </c>
      <c r="F99" s="197" t="s">
        <v>113</v>
      </c>
      <c r="G99" s="199">
        <v>1.376E-2</v>
      </c>
      <c r="H99" s="199">
        <v>354.25</v>
      </c>
      <c r="I99" s="199" t="s">
        <v>1193</v>
      </c>
      <c r="J99" s="199">
        <f>0.8287*H99*G99</f>
        <v>4.039481576</v>
      </c>
      <c r="K99" s="199">
        <f>(1-0.8287)*H99*G99</f>
        <v>0.83499842400000002</v>
      </c>
      <c r="L99" s="199"/>
      <c r="M99" s="199"/>
      <c r="N99" s="199"/>
      <c r="O99" s="199"/>
      <c r="P99" s="199"/>
      <c r="Q99" s="199"/>
    </row>
    <row r="100" spans="1:18" s="25" customFormat="1" ht="30" x14ac:dyDescent="0.25">
      <c r="A100" s="200" t="s">
        <v>22</v>
      </c>
      <c r="B100" s="201" t="s">
        <v>62</v>
      </c>
      <c r="C100" s="201">
        <v>34548</v>
      </c>
      <c r="D100" s="201"/>
      <c r="E100" s="204" t="s">
        <v>114</v>
      </c>
      <c r="F100" s="201" t="s">
        <v>39</v>
      </c>
      <c r="G100" s="203">
        <v>0.78500000000000003</v>
      </c>
      <c r="H100" s="203">
        <v>10.84</v>
      </c>
      <c r="I100" s="203" t="s">
        <v>1193</v>
      </c>
      <c r="J100" s="203">
        <f t="shared" ref="J100:J101" si="1">H100*G100</f>
        <v>8.5093999999999994</v>
      </c>
      <c r="K100" s="203"/>
      <c r="L100" s="203"/>
      <c r="M100" s="203"/>
      <c r="N100" s="203"/>
      <c r="O100" s="203"/>
      <c r="P100" s="203"/>
      <c r="Q100" s="203"/>
    </row>
    <row r="101" spans="1:18" s="25" customFormat="1" x14ac:dyDescent="0.25">
      <c r="A101" s="196" t="s">
        <v>22</v>
      </c>
      <c r="B101" s="197" t="s">
        <v>62</v>
      </c>
      <c r="C101" s="197">
        <v>37395</v>
      </c>
      <c r="D101" s="197"/>
      <c r="E101" s="198" t="s">
        <v>115</v>
      </c>
      <c r="F101" s="197" t="s">
        <v>90</v>
      </c>
      <c r="G101" s="199">
        <v>1.8700000000000001E-2</v>
      </c>
      <c r="H101" s="199">
        <v>38.524999999999999</v>
      </c>
      <c r="I101" s="199" t="s">
        <v>1193</v>
      </c>
      <c r="J101" s="199">
        <f t="shared" si="1"/>
        <v>0.72041750000000004</v>
      </c>
      <c r="K101" s="199"/>
      <c r="L101" s="199"/>
      <c r="M101" s="199"/>
      <c r="N101" s="199"/>
      <c r="O101" s="199"/>
      <c r="P101" s="199"/>
      <c r="Q101" s="199"/>
    </row>
    <row r="102" spans="1:18" s="189" customFormat="1" x14ac:dyDescent="0.25">
      <c r="A102" s="163"/>
      <c r="B102" s="101"/>
      <c r="C102" s="101"/>
      <c r="D102" s="101"/>
      <c r="E102" s="102"/>
      <c r="F102" s="101"/>
      <c r="G102" s="96"/>
      <c r="H102" s="96"/>
      <c r="I102" s="96" t="s">
        <v>1193</v>
      </c>
      <c r="J102" s="96"/>
      <c r="K102" s="96"/>
      <c r="L102" s="96"/>
      <c r="M102" s="96"/>
      <c r="N102" s="96"/>
      <c r="O102" s="96"/>
      <c r="P102" s="96"/>
      <c r="Q102" s="96"/>
      <c r="R102" s="25"/>
    </row>
    <row r="103" spans="1:18" s="25" customFormat="1" ht="30" x14ac:dyDescent="0.25">
      <c r="A103" s="142" t="s">
        <v>22</v>
      </c>
      <c r="B103" s="143"/>
      <c r="C103" s="143">
        <v>90439</v>
      </c>
      <c r="D103" s="143" t="s">
        <v>116</v>
      </c>
      <c r="E103" s="144" t="s">
        <v>117</v>
      </c>
      <c r="F103" s="143" t="s">
        <v>1215</v>
      </c>
      <c r="G103" s="145"/>
      <c r="H103" s="146"/>
      <c r="I103" s="146">
        <v>1</v>
      </c>
      <c r="J103" s="146">
        <f>SUM(J104:J107)</f>
        <v>21.144103163600001</v>
      </c>
      <c r="K103" s="146">
        <f>SUM(K104:K107)</f>
        <v>66.622487969079998</v>
      </c>
      <c r="L103" s="146">
        <f>J103+K103</f>
        <v>87.766591132679991</v>
      </c>
      <c r="M103" s="146">
        <f>J103*I103</f>
        <v>21.144103163600001</v>
      </c>
      <c r="N103" s="146">
        <f>K103*I103</f>
        <v>66.622487969079998</v>
      </c>
      <c r="O103" s="146">
        <f>M103+N103</f>
        <v>87.766591132679991</v>
      </c>
      <c r="P103" s="146">
        <f>O103*$P$1</f>
        <v>22.520907284645684</v>
      </c>
      <c r="Q103" s="146">
        <f>P103+O103</f>
        <v>110.28749841732568</v>
      </c>
    </row>
    <row r="104" spans="1:18" s="25" customFormat="1" x14ac:dyDescent="0.25">
      <c r="A104" s="200" t="s">
        <v>22</v>
      </c>
      <c r="B104" s="201" t="s">
        <v>27</v>
      </c>
      <c r="C104" s="201">
        <v>88248</v>
      </c>
      <c r="D104" s="201"/>
      <c r="E104" s="202" t="s">
        <v>118</v>
      </c>
      <c r="F104" s="201" t="s">
        <v>29</v>
      </c>
      <c r="G104" s="203">
        <v>0.182</v>
      </c>
      <c r="H104" s="203">
        <v>18.57</v>
      </c>
      <c r="I104" s="203" t="s">
        <v>1193</v>
      </c>
      <c r="J104" s="203">
        <f>0.31064*H104*G104</f>
        <v>1.0498824336000001</v>
      </c>
      <c r="K104" s="203">
        <f>0.6895*H104*G104</f>
        <v>2.33033073</v>
      </c>
      <c r="L104" s="203"/>
      <c r="M104" s="203"/>
      <c r="N104" s="203"/>
      <c r="O104" s="203"/>
      <c r="P104" s="203"/>
      <c r="Q104" s="203"/>
    </row>
    <row r="105" spans="1:18" s="25" customFormat="1" x14ac:dyDescent="0.25">
      <c r="A105" s="196" t="s">
        <v>22</v>
      </c>
      <c r="B105" s="197" t="s">
        <v>27</v>
      </c>
      <c r="C105" s="201">
        <v>88267</v>
      </c>
      <c r="D105" s="201"/>
      <c r="E105" s="202" t="s">
        <v>119</v>
      </c>
      <c r="F105" s="197" t="s">
        <v>29</v>
      </c>
      <c r="G105" s="199">
        <v>1.1719999999999999</v>
      </c>
      <c r="H105" s="199">
        <v>24.02</v>
      </c>
      <c r="I105" s="199" t="s">
        <v>1193</v>
      </c>
      <c r="J105" s="199">
        <f>0.2417*H105*G105</f>
        <v>6.8042030479999989</v>
      </c>
      <c r="K105" s="199">
        <f>0.7582*H105*G105</f>
        <v>21.344421807999996</v>
      </c>
      <c r="L105" s="199"/>
      <c r="M105" s="199"/>
      <c r="N105" s="199"/>
      <c r="O105" s="199"/>
      <c r="P105" s="199"/>
      <c r="Q105" s="199"/>
    </row>
    <row r="106" spans="1:18" s="25" customFormat="1" x14ac:dyDescent="0.25">
      <c r="A106" s="200" t="s">
        <v>22</v>
      </c>
      <c r="B106" s="201" t="s">
        <v>27</v>
      </c>
      <c r="C106" s="201">
        <v>5795</v>
      </c>
      <c r="D106" s="201"/>
      <c r="E106" s="202" t="s">
        <v>120</v>
      </c>
      <c r="F106" s="201" t="s">
        <v>121</v>
      </c>
      <c r="G106" s="203">
        <v>0.36699999999999999</v>
      </c>
      <c r="H106" s="203">
        <v>23.22</v>
      </c>
      <c r="I106" s="203" t="s">
        <v>1193</v>
      </c>
      <c r="J106" s="203">
        <f t="shared" ref="J106:J107" si="2">G106*H106*0.2363</f>
        <v>2.0136871620000001</v>
      </c>
      <c r="K106" s="203">
        <f t="shared" ref="K106:K107" si="3">G106*H106*0.763622</f>
        <v>6.50738814228</v>
      </c>
      <c r="L106" s="203"/>
      <c r="M106" s="203"/>
      <c r="N106" s="203"/>
      <c r="O106" s="203"/>
      <c r="P106" s="203"/>
      <c r="Q106" s="203"/>
    </row>
    <row r="107" spans="1:18" x14ac:dyDescent="0.25">
      <c r="A107" s="196" t="s">
        <v>22</v>
      </c>
      <c r="B107" s="197" t="s">
        <v>27</v>
      </c>
      <c r="C107" s="201">
        <v>5952</v>
      </c>
      <c r="D107" s="201"/>
      <c r="E107" s="202" t="s">
        <v>120</v>
      </c>
      <c r="F107" s="197" t="s">
        <v>122</v>
      </c>
      <c r="G107" s="199">
        <v>0.80500000000000005</v>
      </c>
      <c r="H107" s="199">
        <v>59.28</v>
      </c>
      <c r="I107" s="199" t="s">
        <v>1193</v>
      </c>
      <c r="J107" s="199">
        <f t="shared" si="2"/>
        <v>11.276330520000002</v>
      </c>
      <c r="K107" s="199">
        <f t="shared" si="3"/>
        <v>36.440347288800005</v>
      </c>
      <c r="L107" s="199"/>
      <c r="M107" s="199"/>
      <c r="N107" s="199"/>
      <c r="O107" s="199"/>
      <c r="P107" s="199"/>
      <c r="Q107" s="199"/>
      <c r="R107" s="25"/>
    </row>
    <row r="108" spans="1:18" s="189" customFormat="1" x14ac:dyDescent="0.25">
      <c r="A108" s="164"/>
      <c r="B108" s="165"/>
      <c r="C108" s="101"/>
      <c r="D108" s="101"/>
      <c r="E108" s="166"/>
      <c r="F108" s="101"/>
      <c r="G108" s="96"/>
      <c r="H108" s="96"/>
      <c r="I108" s="96" t="s">
        <v>1193</v>
      </c>
      <c r="J108" s="96"/>
      <c r="K108" s="96"/>
      <c r="L108" s="96"/>
      <c r="M108" s="96"/>
      <c r="N108" s="96"/>
      <c r="O108" s="96"/>
      <c r="P108" s="96"/>
      <c r="Q108" s="96"/>
      <c r="R108" s="25"/>
    </row>
    <row r="109" spans="1:18" s="25" customFormat="1" ht="15.75" x14ac:dyDescent="0.25">
      <c r="A109" s="136"/>
      <c r="B109" s="97"/>
      <c r="C109" s="97"/>
      <c r="D109" s="97">
        <v>3</v>
      </c>
      <c r="E109" s="98" t="s">
        <v>123</v>
      </c>
      <c r="F109" s="97"/>
      <c r="G109" s="97"/>
      <c r="H109" s="330"/>
      <c r="I109" s="97" t="s">
        <v>1193</v>
      </c>
      <c r="J109" s="330"/>
      <c r="K109" s="330"/>
      <c r="L109" s="330"/>
      <c r="M109" s="330"/>
      <c r="N109" s="330"/>
      <c r="O109" s="330"/>
      <c r="P109" s="330"/>
      <c r="Q109" s="330">
        <f>SUM(Q111:Q154)</f>
        <v>199.35962977650439</v>
      </c>
    </row>
    <row r="110" spans="1:18" s="25" customFormat="1" x14ac:dyDescent="0.25">
      <c r="A110" s="163"/>
      <c r="B110" s="101"/>
      <c r="C110" s="101"/>
      <c r="D110" s="101"/>
      <c r="E110" s="102"/>
      <c r="F110" s="101"/>
      <c r="G110" s="96"/>
      <c r="H110" s="96"/>
      <c r="I110" s="96" t="s">
        <v>1193</v>
      </c>
      <c r="J110" s="96"/>
      <c r="K110" s="96"/>
      <c r="L110" s="96"/>
      <c r="M110" s="96"/>
      <c r="N110" s="96"/>
      <c r="O110" s="96"/>
      <c r="P110" s="96"/>
      <c r="Q110" s="96"/>
    </row>
    <row r="111" spans="1:18" s="25" customFormat="1" ht="30" x14ac:dyDescent="0.25">
      <c r="A111" s="142" t="s">
        <v>22</v>
      </c>
      <c r="B111" s="143"/>
      <c r="C111" s="143">
        <v>87872</v>
      </c>
      <c r="D111" s="143" t="s">
        <v>124</v>
      </c>
      <c r="E111" s="144" t="s">
        <v>125</v>
      </c>
      <c r="F111" s="143" t="s">
        <v>33</v>
      </c>
      <c r="G111" s="145"/>
      <c r="H111" s="146"/>
      <c r="I111" s="146">
        <v>0.67</v>
      </c>
      <c r="J111" s="146">
        <f>SUM(J112:J114)</f>
        <v>8.0227953646000021</v>
      </c>
      <c r="K111" s="146">
        <f>SUM(K112:K114)</f>
        <v>2.9765050444000001</v>
      </c>
      <c r="L111" s="146">
        <f>J111+K111</f>
        <v>10.999300409000002</v>
      </c>
      <c r="M111" s="146">
        <f>J111*I111</f>
        <v>5.3752728942820021</v>
      </c>
      <c r="N111" s="146">
        <f>K111*I111</f>
        <v>1.9942583797480002</v>
      </c>
      <c r="O111" s="146">
        <f>M111+N111</f>
        <v>7.3695312740300025</v>
      </c>
      <c r="P111" s="146">
        <f>O111*$P$1</f>
        <v>1.8910217249160985</v>
      </c>
      <c r="Q111" s="146">
        <f>P111+O111</f>
        <v>9.2605529989461015</v>
      </c>
    </row>
    <row r="112" spans="1:18" s="25" customFormat="1" x14ac:dyDescent="0.25">
      <c r="A112" s="200" t="s">
        <v>22</v>
      </c>
      <c r="B112" s="201" t="s">
        <v>27</v>
      </c>
      <c r="C112" s="201">
        <v>88309</v>
      </c>
      <c r="D112" s="201"/>
      <c r="E112" s="202" t="s">
        <v>65</v>
      </c>
      <c r="F112" s="201" t="s">
        <v>29</v>
      </c>
      <c r="G112" s="203">
        <v>0.14099999999999999</v>
      </c>
      <c r="H112" s="203">
        <v>24.51</v>
      </c>
      <c r="I112" s="203" t="s">
        <v>1193</v>
      </c>
      <c r="J112" s="203">
        <f>0.2565*H112*G112</f>
        <v>0.886440915</v>
      </c>
      <c r="K112" s="203">
        <f>0.7434*H112*G112</f>
        <v>2.5691234939999998</v>
      </c>
      <c r="L112" s="203"/>
      <c r="M112" s="203"/>
      <c r="N112" s="203"/>
      <c r="O112" s="203"/>
      <c r="P112" s="203"/>
      <c r="Q112" s="203"/>
    </row>
    <row r="113" spans="1:17" s="25" customFormat="1" x14ac:dyDescent="0.25">
      <c r="A113" s="196" t="s">
        <v>22</v>
      </c>
      <c r="B113" s="197" t="s">
        <v>27</v>
      </c>
      <c r="C113" s="197">
        <v>88316</v>
      </c>
      <c r="D113" s="197"/>
      <c r="E113" s="198" t="s">
        <v>30</v>
      </c>
      <c r="F113" s="197" t="s">
        <v>29</v>
      </c>
      <c r="G113" s="199">
        <v>1.4E-2</v>
      </c>
      <c r="H113" s="203">
        <v>18.899999999999999</v>
      </c>
      <c r="I113" s="199" t="s">
        <v>1193</v>
      </c>
      <c r="J113" s="199">
        <f>0.3242*H113*G113</f>
        <v>8.5783319999999996E-2</v>
      </c>
      <c r="K113" s="199">
        <f>0.6758*H113*G113</f>
        <v>0.17881667999999998</v>
      </c>
      <c r="L113" s="199"/>
      <c r="M113" s="199"/>
      <c r="N113" s="199"/>
      <c r="O113" s="199"/>
      <c r="P113" s="199"/>
      <c r="Q113" s="199"/>
    </row>
    <row r="114" spans="1:17" s="25" customFormat="1" ht="30" x14ac:dyDescent="0.25">
      <c r="A114" s="200" t="s">
        <v>22</v>
      </c>
      <c r="B114" s="201" t="s">
        <v>27</v>
      </c>
      <c r="C114" s="201">
        <v>87396</v>
      </c>
      <c r="D114" s="201"/>
      <c r="E114" s="204" t="s">
        <v>126</v>
      </c>
      <c r="F114" s="201" t="s">
        <v>113</v>
      </c>
      <c r="G114" s="208">
        <v>3.2000000000000002E-3</v>
      </c>
      <c r="H114" s="203">
        <v>2274.73</v>
      </c>
      <c r="I114" s="203" t="s">
        <v>1193</v>
      </c>
      <c r="J114" s="203">
        <f>0.9686*H114*G114</f>
        <v>7.0505711296000015</v>
      </c>
      <c r="K114" s="203">
        <f>(1-0.9686)*H114*G114</f>
        <v>0.2285648703999999</v>
      </c>
      <c r="L114" s="203"/>
      <c r="M114" s="203"/>
      <c r="N114" s="203"/>
      <c r="O114" s="203"/>
      <c r="P114" s="203"/>
      <c r="Q114" s="203"/>
    </row>
    <row r="115" spans="1:17" s="25" customFormat="1" x14ac:dyDescent="0.25">
      <c r="A115" s="159"/>
      <c r="B115" s="160"/>
      <c r="C115" s="160"/>
      <c r="D115" s="160"/>
      <c r="E115" s="161"/>
      <c r="F115" s="160"/>
      <c r="G115" s="162"/>
      <c r="H115" s="162"/>
      <c r="I115" s="162" t="s">
        <v>1193</v>
      </c>
      <c r="J115" s="162"/>
      <c r="K115" s="162"/>
      <c r="L115" s="162"/>
      <c r="M115" s="162"/>
      <c r="N115" s="162"/>
      <c r="O115" s="162"/>
      <c r="P115" s="162"/>
      <c r="Q115" s="162"/>
    </row>
    <row r="116" spans="1:17" s="25" customFormat="1" ht="30" x14ac:dyDescent="0.25">
      <c r="A116" s="142" t="s">
        <v>22</v>
      </c>
      <c r="B116" s="143"/>
      <c r="C116" s="143">
        <v>87529</v>
      </c>
      <c r="D116" s="143" t="s">
        <v>127</v>
      </c>
      <c r="E116" s="144" t="s">
        <v>128</v>
      </c>
      <c r="F116" s="143" t="s">
        <v>33</v>
      </c>
      <c r="G116" s="145"/>
      <c r="H116" s="146"/>
      <c r="I116" s="146">
        <v>0.67</v>
      </c>
      <c r="J116" s="146">
        <f>SUM(J117:J119)</f>
        <v>15.034575910000001</v>
      </c>
      <c r="K116" s="146">
        <f>SUM(K117:K119)</f>
        <v>13.016772119999999</v>
      </c>
      <c r="L116" s="146">
        <f>J116+K116</f>
        <v>28.05134803</v>
      </c>
      <c r="M116" s="146">
        <f>J116*I116</f>
        <v>10.073165859700001</v>
      </c>
      <c r="N116" s="146">
        <f>K116*I116</f>
        <v>8.7212373204000002</v>
      </c>
      <c r="O116" s="146">
        <f>M116+N116</f>
        <v>18.794403180100002</v>
      </c>
      <c r="P116" s="146">
        <f>O116*$P$1</f>
        <v>4.8226438560136602</v>
      </c>
      <c r="Q116" s="146">
        <f>P116+O116</f>
        <v>23.617047036113661</v>
      </c>
    </row>
    <row r="117" spans="1:17" s="25" customFormat="1" x14ac:dyDescent="0.25">
      <c r="A117" s="196" t="s">
        <v>22</v>
      </c>
      <c r="B117" s="197" t="s">
        <v>27</v>
      </c>
      <c r="C117" s="197">
        <v>88309</v>
      </c>
      <c r="D117" s="197"/>
      <c r="E117" s="198" t="s">
        <v>65</v>
      </c>
      <c r="F117" s="197" t="s">
        <v>29</v>
      </c>
      <c r="G117" s="199">
        <v>0.47</v>
      </c>
      <c r="H117" s="199">
        <v>24.51</v>
      </c>
      <c r="I117" s="199" t="s">
        <v>1193</v>
      </c>
      <c r="J117" s="199">
        <f>0.2565*H117*G117</f>
        <v>2.9548030500000002</v>
      </c>
      <c r="K117" s="199">
        <f>0.7434*H117*G117</f>
        <v>8.5637449799999992</v>
      </c>
      <c r="L117" s="199"/>
      <c r="M117" s="199"/>
      <c r="N117" s="199"/>
      <c r="O117" s="199"/>
      <c r="P117" s="199"/>
      <c r="Q117" s="199"/>
    </row>
    <row r="118" spans="1:17" s="25" customFormat="1" x14ac:dyDescent="0.25">
      <c r="A118" s="200" t="s">
        <v>22</v>
      </c>
      <c r="B118" s="201" t="s">
        <v>27</v>
      </c>
      <c r="C118" s="201">
        <v>88316</v>
      </c>
      <c r="D118" s="201"/>
      <c r="E118" s="202" t="s">
        <v>30</v>
      </c>
      <c r="F118" s="201" t="s">
        <v>29</v>
      </c>
      <c r="G118" s="203">
        <v>0.17</v>
      </c>
      <c r="H118" s="203">
        <v>18.899999999999999</v>
      </c>
      <c r="I118" s="203" t="s">
        <v>1193</v>
      </c>
      <c r="J118" s="203">
        <f>0.3242*H118*G118</f>
        <v>1.0416546</v>
      </c>
      <c r="K118" s="203">
        <f>0.6758*H118*G118</f>
        <v>2.1713453999999999</v>
      </c>
      <c r="L118" s="203"/>
      <c r="M118" s="203"/>
      <c r="N118" s="203"/>
      <c r="O118" s="203"/>
      <c r="P118" s="203"/>
      <c r="Q118" s="203"/>
    </row>
    <row r="119" spans="1:17" s="25" customFormat="1" ht="45" x14ac:dyDescent="0.25">
      <c r="A119" s="196" t="s">
        <v>22</v>
      </c>
      <c r="B119" s="197" t="s">
        <v>27</v>
      </c>
      <c r="C119" s="197">
        <v>87292</v>
      </c>
      <c r="D119" s="197"/>
      <c r="E119" s="207" t="s">
        <v>112</v>
      </c>
      <c r="F119" s="197" t="s">
        <v>113</v>
      </c>
      <c r="G119" s="199">
        <v>3.7600000000000001E-2</v>
      </c>
      <c r="H119" s="199">
        <v>354.25</v>
      </c>
      <c r="I119" s="199" t="s">
        <v>1193</v>
      </c>
      <c r="J119" s="199">
        <f>0.8287*H119*G119</f>
        <v>11.038118260000001</v>
      </c>
      <c r="K119" s="199">
        <f>(1-0.8287)*H119*G119</f>
        <v>2.2816817400000002</v>
      </c>
      <c r="L119" s="199"/>
      <c r="M119" s="199"/>
      <c r="N119" s="199"/>
      <c r="O119" s="199"/>
      <c r="P119" s="199"/>
      <c r="Q119" s="199"/>
    </row>
    <row r="120" spans="1:17" s="25" customFormat="1" x14ac:dyDescent="0.25">
      <c r="A120" s="163"/>
      <c r="B120" s="101"/>
      <c r="C120" s="101"/>
      <c r="D120" s="101"/>
      <c r="E120" s="102"/>
      <c r="F120" s="101"/>
      <c r="G120" s="96"/>
      <c r="H120" s="96"/>
      <c r="I120" s="96" t="s">
        <v>1193</v>
      </c>
      <c r="J120" s="96"/>
      <c r="K120" s="96"/>
      <c r="L120" s="96"/>
      <c r="M120" s="96"/>
      <c r="N120" s="96"/>
      <c r="O120" s="96"/>
      <c r="P120" s="96"/>
      <c r="Q120" s="96"/>
    </row>
    <row r="121" spans="1:17" s="25" customFormat="1" ht="30" x14ac:dyDescent="0.25">
      <c r="A121" s="142" t="s">
        <v>35</v>
      </c>
      <c r="B121" s="143"/>
      <c r="C121" s="148" t="s">
        <v>129</v>
      </c>
      <c r="D121" s="143" t="s">
        <v>130</v>
      </c>
      <c r="E121" s="144" t="s">
        <v>131</v>
      </c>
      <c r="F121" s="143" t="s">
        <v>33</v>
      </c>
      <c r="G121" s="145"/>
      <c r="H121" s="146"/>
      <c r="I121" s="146">
        <v>0.67</v>
      </c>
      <c r="J121" s="146">
        <f>SUM(J122:J123)</f>
        <v>24.125587499999998</v>
      </c>
      <c r="K121" s="146">
        <f>SUM(K122:K123)</f>
        <v>0.6418625</v>
      </c>
      <c r="L121" s="146">
        <f>J121+K121</f>
        <v>24.767449999999997</v>
      </c>
      <c r="M121" s="146">
        <f>J121*I121</f>
        <v>16.164143625000001</v>
      </c>
      <c r="N121" s="146">
        <f>K121*I121</f>
        <v>0.43004787500000002</v>
      </c>
      <c r="O121" s="146">
        <f>M121+N121</f>
        <v>16.594191500000001</v>
      </c>
      <c r="P121" s="146">
        <f>O121*$P$1</f>
        <v>4.2580695389000001</v>
      </c>
      <c r="Q121" s="146">
        <f>P121+O121</f>
        <v>20.8522610389</v>
      </c>
    </row>
    <row r="122" spans="1:17" s="25" customFormat="1" x14ac:dyDescent="0.25">
      <c r="A122" s="200" t="s">
        <v>35</v>
      </c>
      <c r="B122" s="201" t="s">
        <v>62</v>
      </c>
      <c r="C122" s="201" t="s">
        <v>132</v>
      </c>
      <c r="D122" s="201"/>
      <c r="E122" s="202" t="s">
        <v>133</v>
      </c>
      <c r="F122" s="201" t="s">
        <v>134</v>
      </c>
      <c r="G122" s="203">
        <v>1</v>
      </c>
      <c r="H122" s="203">
        <v>22.2</v>
      </c>
      <c r="I122" s="203" t="s">
        <v>1193</v>
      </c>
      <c r="J122" s="203">
        <f>H122*G122</f>
        <v>22.2</v>
      </c>
      <c r="K122" s="203"/>
      <c r="L122" s="203"/>
      <c r="M122" s="203"/>
      <c r="N122" s="203"/>
      <c r="O122" s="203"/>
      <c r="P122" s="203"/>
      <c r="Q122" s="203"/>
    </row>
    <row r="123" spans="1:17" s="25" customFormat="1" x14ac:dyDescent="0.25">
      <c r="A123" s="196" t="s">
        <v>35</v>
      </c>
      <c r="B123" s="197" t="s">
        <v>27</v>
      </c>
      <c r="C123" s="197" t="s">
        <v>132</v>
      </c>
      <c r="D123" s="197"/>
      <c r="E123" s="198" t="s">
        <v>135</v>
      </c>
      <c r="F123" s="197" t="s">
        <v>113</v>
      </c>
      <c r="G123" s="199">
        <v>5.0000000000000001E-3</v>
      </c>
      <c r="H123" s="203">
        <v>513.49</v>
      </c>
      <c r="I123" s="199" t="s">
        <v>1193</v>
      </c>
      <c r="J123" s="199">
        <f>0.75*G123*H123</f>
        <v>1.9255875</v>
      </c>
      <c r="K123" s="199">
        <f>0.25*G123*H123</f>
        <v>0.6418625</v>
      </c>
      <c r="L123" s="199"/>
      <c r="M123" s="199"/>
      <c r="N123" s="199"/>
      <c r="O123" s="199"/>
      <c r="P123" s="199"/>
      <c r="Q123" s="199"/>
    </row>
    <row r="124" spans="1:17" s="25" customFormat="1" x14ac:dyDescent="0.25">
      <c r="A124" s="163"/>
      <c r="B124" s="101"/>
      <c r="C124" s="101"/>
      <c r="D124" s="101"/>
      <c r="E124" s="102"/>
      <c r="F124" s="101"/>
      <c r="G124" s="96"/>
      <c r="H124" s="96"/>
      <c r="I124" s="96" t="s">
        <v>1193</v>
      </c>
      <c r="J124" s="96"/>
      <c r="K124" s="96"/>
      <c r="L124" s="96"/>
      <c r="M124" s="96"/>
      <c r="N124" s="96"/>
      <c r="O124" s="96"/>
      <c r="P124" s="96"/>
      <c r="Q124" s="96"/>
    </row>
    <row r="125" spans="1:17" s="25" customFormat="1" ht="51.6" customHeight="1" x14ac:dyDescent="0.25">
      <c r="A125" s="142" t="s">
        <v>22</v>
      </c>
      <c r="B125" s="143"/>
      <c r="C125" s="143">
        <v>101965</v>
      </c>
      <c r="D125" s="143" t="s">
        <v>136</v>
      </c>
      <c r="E125" s="144" t="s">
        <v>137</v>
      </c>
      <c r="F125" s="143" t="s">
        <v>39</v>
      </c>
      <c r="G125" s="145"/>
      <c r="H125" s="146"/>
      <c r="I125" s="146">
        <v>0.67</v>
      </c>
      <c r="J125" s="146">
        <f>SUM(J126:J131)</f>
        <v>73.416079248000003</v>
      </c>
      <c r="K125" s="146">
        <f>SUM(K126:K131)</f>
        <v>20.955829989000001</v>
      </c>
      <c r="L125" s="146">
        <f>J125+K125</f>
        <v>94.371909237000011</v>
      </c>
      <c r="M125" s="146">
        <f>J125*I125</f>
        <v>49.188773096160006</v>
      </c>
      <c r="N125" s="146">
        <f>K125*I125</f>
        <v>14.040406092630002</v>
      </c>
      <c r="O125" s="146">
        <f>M125+N125</f>
        <v>63.229179188790006</v>
      </c>
      <c r="P125" s="146">
        <f>O125*$P$1</f>
        <v>16.224607379843516</v>
      </c>
      <c r="Q125" s="146">
        <f>P125+O125</f>
        <v>79.453786568633518</v>
      </c>
    </row>
    <row r="126" spans="1:17" s="25" customFormat="1" x14ac:dyDescent="0.25">
      <c r="A126" s="200" t="s">
        <v>22</v>
      </c>
      <c r="B126" s="201" t="s">
        <v>27</v>
      </c>
      <c r="C126" s="201">
        <v>88316</v>
      </c>
      <c r="D126" s="201"/>
      <c r="E126" s="202" t="s">
        <v>30</v>
      </c>
      <c r="F126" s="201" t="s">
        <v>29</v>
      </c>
      <c r="G126" s="203">
        <v>0.20899999999999999</v>
      </c>
      <c r="H126" s="203">
        <v>18.899999999999999</v>
      </c>
      <c r="I126" s="203" t="s">
        <v>1193</v>
      </c>
      <c r="J126" s="203">
        <f>0.3242*H126*G126</f>
        <v>1.2806224199999998</v>
      </c>
      <c r="K126" s="203">
        <f>0.6758*H126*G126</f>
        <v>2.6694775799999997</v>
      </c>
      <c r="L126" s="203"/>
      <c r="M126" s="203"/>
      <c r="N126" s="203"/>
      <c r="O126" s="203"/>
      <c r="P126" s="203"/>
      <c r="Q126" s="203"/>
    </row>
    <row r="127" spans="1:17" s="25" customFormat="1" x14ac:dyDescent="0.25">
      <c r="A127" s="196" t="s">
        <v>22</v>
      </c>
      <c r="B127" s="197" t="s">
        <v>27</v>
      </c>
      <c r="C127" s="197">
        <v>88274</v>
      </c>
      <c r="D127" s="197"/>
      <c r="E127" s="198" t="s">
        <v>138</v>
      </c>
      <c r="F127" s="197" t="s">
        <v>29</v>
      </c>
      <c r="G127" s="199">
        <v>0.41899999999999998</v>
      </c>
      <c r="H127" s="199">
        <v>28.37</v>
      </c>
      <c r="I127" s="199" t="s">
        <v>1193</v>
      </c>
      <c r="J127" s="199">
        <f>0.2224*H127*G127</f>
        <v>2.643675472</v>
      </c>
      <c r="K127" s="199">
        <f>0.7775*H127*G127</f>
        <v>9.2421658249999989</v>
      </c>
      <c r="L127" s="199"/>
      <c r="M127" s="199"/>
      <c r="N127" s="199"/>
      <c r="O127" s="199"/>
      <c r="P127" s="199"/>
      <c r="Q127" s="199"/>
    </row>
    <row r="128" spans="1:17" s="25" customFormat="1" ht="45" x14ac:dyDescent="0.25">
      <c r="A128" s="200" t="s">
        <v>22</v>
      </c>
      <c r="B128" s="201" t="s">
        <v>27</v>
      </c>
      <c r="C128" s="201">
        <v>87283</v>
      </c>
      <c r="D128" s="201"/>
      <c r="E128" s="204" t="s">
        <v>139</v>
      </c>
      <c r="F128" s="201" t="s">
        <v>113</v>
      </c>
      <c r="G128" s="203">
        <v>6.0000000000000001E-3</v>
      </c>
      <c r="H128" s="203">
        <v>320.10000000000002</v>
      </c>
      <c r="I128" s="203" t="s">
        <v>1193</v>
      </c>
      <c r="J128" s="203">
        <f>0.7868*G128*H128</f>
        <v>1.5111280800000004</v>
      </c>
      <c r="K128" s="203">
        <f>0.2131*G128*H128</f>
        <v>0.40927986000000011</v>
      </c>
      <c r="L128" s="203"/>
      <c r="M128" s="203"/>
      <c r="N128" s="203"/>
      <c r="O128" s="203"/>
      <c r="P128" s="203"/>
      <c r="Q128" s="203"/>
    </row>
    <row r="129" spans="1:17" s="25" customFormat="1" ht="30" x14ac:dyDescent="0.25">
      <c r="A129" s="196" t="s">
        <v>22</v>
      </c>
      <c r="B129" s="197" t="s">
        <v>27</v>
      </c>
      <c r="C129" s="197">
        <v>91692</v>
      </c>
      <c r="D129" s="197"/>
      <c r="E129" s="207" t="s">
        <v>140</v>
      </c>
      <c r="F129" s="197" t="s">
        <v>121</v>
      </c>
      <c r="G129" s="199">
        <v>2.1000000000000001E-2</v>
      </c>
      <c r="H129" s="199">
        <v>26.42</v>
      </c>
      <c r="I129" s="199" t="s">
        <v>1193</v>
      </c>
      <c r="J129" s="199">
        <f>0.1974*G129*H129</f>
        <v>0.10952146800000002</v>
      </c>
      <c r="K129" s="199">
        <f>(1-0.1974)*G129*H129</f>
        <v>0.44529853200000002</v>
      </c>
      <c r="L129" s="199"/>
      <c r="M129" s="199"/>
      <c r="N129" s="199"/>
      <c r="O129" s="199"/>
      <c r="P129" s="199"/>
      <c r="Q129" s="199"/>
    </row>
    <row r="130" spans="1:17" s="25" customFormat="1" ht="30" x14ac:dyDescent="0.25">
      <c r="A130" s="200" t="s">
        <v>22</v>
      </c>
      <c r="B130" s="201" t="s">
        <v>27</v>
      </c>
      <c r="C130" s="201">
        <v>91963</v>
      </c>
      <c r="D130" s="201"/>
      <c r="E130" s="204" t="s">
        <v>141</v>
      </c>
      <c r="F130" s="201" t="s">
        <v>122</v>
      </c>
      <c r="G130" s="203">
        <v>0.39700000000000002</v>
      </c>
      <c r="H130" s="203">
        <v>26.42</v>
      </c>
      <c r="I130" s="203" t="s">
        <v>1193</v>
      </c>
      <c r="J130" s="203">
        <f>0.2192*G130*H130</f>
        <v>2.2991318080000003</v>
      </c>
      <c r="K130" s="203">
        <f>(1-0.2192)*G130*H130</f>
        <v>8.1896081919999997</v>
      </c>
      <c r="L130" s="203"/>
      <c r="M130" s="203"/>
      <c r="N130" s="203"/>
      <c r="O130" s="203"/>
      <c r="P130" s="203"/>
      <c r="Q130" s="203"/>
    </row>
    <row r="131" spans="1:17" s="25" customFormat="1" ht="30" x14ac:dyDescent="0.25">
      <c r="A131" s="196" t="s">
        <v>22</v>
      </c>
      <c r="B131" s="197" t="s">
        <v>62</v>
      </c>
      <c r="C131" s="197">
        <v>34747</v>
      </c>
      <c r="D131" s="197"/>
      <c r="E131" s="207" t="s">
        <v>142</v>
      </c>
      <c r="F131" s="197" t="s">
        <v>39</v>
      </c>
      <c r="G131" s="199">
        <v>1.04</v>
      </c>
      <c r="H131" s="199">
        <v>63.05</v>
      </c>
      <c r="I131" s="199" t="s">
        <v>1193</v>
      </c>
      <c r="J131" s="199">
        <f>H131*G131</f>
        <v>65.572000000000003</v>
      </c>
      <c r="K131" s="199"/>
      <c r="L131" s="199"/>
      <c r="M131" s="199"/>
      <c r="N131" s="199"/>
      <c r="O131" s="199"/>
      <c r="P131" s="199"/>
      <c r="Q131" s="199"/>
    </row>
    <row r="132" spans="1:17" s="25" customFormat="1" x14ac:dyDescent="0.25">
      <c r="A132" s="163"/>
      <c r="B132" s="101"/>
      <c r="C132" s="101"/>
      <c r="D132" s="101"/>
      <c r="E132" s="102"/>
      <c r="F132" s="101"/>
      <c r="G132" s="96"/>
      <c r="H132" s="96"/>
      <c r="I132" s="96" t="s">
        <v>1193</v>
      </c>
      <c r="J132" s="96"/>
      <c r="K132" s="96"/>
      <c r="L132" s="96"/>
      <c r="M132" s="96"/>
      <c r="N132" s="96"/>
      <c r="O132" s="96"/>
      <c r="P132" s="96"/>
      <c r="Q132" s="96"/>
    </row>
    <row r="133" spans="1:17" s="25" customFormat="1" ht="85.9" customHeight="1" x14ac:dyDescent="0.25">
      <c r="A133" s="142" t="s">
        <v>22</v>
      </c>
      <c r="B133" s="143"/>
      <c r="C133" s="143">
        <v>93392</v>
      </c>
      <c r="D133" s="143" t="s">
        <v>143</v>
      </c>
      <c r="E133" s="144" t="s">
        <v>144</v>
      </c>
      <c r="F133" s="143" t="s">
        <v>33</v>
      </c>
      <c r="G133" s="145"/>
      <c r="H133" s="146"/>
      <c r="I133" s="146">
        <v>0.67</v>
      </c>
      <c r="J133" s="146">
        <f>SUM(J134:J138)</f>
        <v>29.837008480000001</v>
      </c>
      <c r="K133" s="146">
        <f>SUM(K134:K138)</f>
        <v>17.917391519999999</v>
      </c>
      <c r="L133" s="146">
        <f>J133+K133</f>
        <v>47.754400000000004</v>
      </c>
      <c r="M133" s="146">
        <f>J133*I133</f>
        <v>19.990795681600002</v>
      </c>
      <c r="N133" s="146">
        <f>K133*I133</f>
        <v>12.0046523184</v>
      </c>
      <c r="O133" s="146">
        <f>M133+N133</f>
        <v>31.995448000000003</v>
      </c>
      <c r="P133" s="146">
        <f>O133*$P$1</f>
        <v>8.2100319568</v>
      </c>
      <c r="Q133" s="146">
        <f>P133+O133</f>
        <v>40.205479956800005</v>
      </c>
    </row>
    <row r="134" spans="1:17" s="25" customFormat="1" x14ac:dyDescent="0.25">
      <c r="A134" s="200" t="s">
        <v>22</v>
      </c>
      <c r="B134" s="201" t="s">
        <v>27</v>
      </c>
      <c r="C134" s="201">
        <v>88256</v>
      </c>
      <c r="D134" s="201"/>
      <c r="E134" s="202" t="s">
        <v>145</v>
      </c>
      <c r="F134" s="201" t="s">
        <v>29</v>
      </c>
      <c r="G134" s="203">
        <v>0.72</v>
      </c>
      <c r="H134" s="203">
        <v>24.43</v>
      </c>
      <c r="I134" s="203" t="s">
        <v>1193</v>
      </c>
      <c r="J134" s="203">
        <f>0.2573*H134*G134</f>
        <v>4.5258040799999995</v>
      </c>
      <c r="K134" s="203">
        <f>0.7427*H134*G134</f>
        <v>13.06379592</v>
      </c>
      <c r="L134" s="203"/>
      <c r="M134" s="203"/>
      <c r="N134" s="203"/>
      <c r="O134" s="203"/>
      <c r="P134" s="203"/>
      <c r="Q134" s="203"/>
    </row>
    <row r="135" spans="1:17" s="25" customFormat="1" x14ac:dyDescent="0.25">
      <c r="A135" s="196" t="s">
        <v>22</v>
      </c>
      <c r="B135" s="197" t="s">
        <v>27</v>
      </c>
      <c r="C135" s="197">
        <v>88316</v>
      </c>
      <c r="D135" s="197"/>
      <c r="E135" s="198" t="s">
        <v>30</v>
      </c>
      <c r="F135" s="197" t="s">
        <v>29</v>
      </c>
      <c r="G135" s="199">
        <v>0.38</v>
      </c>
      <c r="H135" s="203">
        <v>18.899999999999999</v>
      </c>
      <c r="I135" s="199" t="s">
        <v>1193</v>
      </c>
      <c r="J135" s="199">
        <f>0.3242*H135*G135</f>
        <v>2.3284043999999997</v>
      </c>
      <c r="K135" s="199">
        <f>0.6758*H135*G135</f>
        <v>4.8535955999999993</v>
      </c>
      <c r="L135" s="199"/>
      <c r="M135" s="199"/>
      <c r="N135" s="199"/>
      <c r="O135" s="199"/>
      <c r="P135" s="199"/>
      <c r="Q135" s="199"/>
    </row>
    <row r="136" spans="1:17" s="25" customFormat="1" x14ac:dyDescent="0.25">
      <c r="A136" s="200" t="s">
        <v>22</v>
      </c>
      <c r="B136" s="201" t="s">
        <v>62</v>
      </c>
      <c r="C136" s="201">
        <v>1381</v>
      </c>
      <c r="D136" s="201"/>
      <c r="E136" s="202" t="s">
        <v>146</v>
      </c>
      <c r="F136" s="201" t="s">
        <v>64</v>
      </c>
      <c r="G136" s="203">
        <v>4.8600000000000003</v>
      </c>
      <c r="H136" s="203">
        <v>0.54</v>
      </c>
      <c r="I136" s="203" t="s">
        <v>1193</v>
      </c>
      <c r="J136" s="203">
        <f t="shared" ref="J136:J138" si="4">H136*G136</f>
        <v>2.6244000000000005</v>
      </c>
      <c r="K136" s="203"/>
      <c r="L136" s="203"/>
      <c r="M136" s="203"/>
      <c r="N136" s="203"/>
      <c r="O136" s="203"/>
      <c r="P136" s="203"/>
      <c r="Q136" s="203"/>
    </row>
    <row r="137" spans="1:17" s="25" customFormat="1" x14ac:dyDescent="0.25">
      <c r="A137" s="196" t="s">
        <v>22</v>
      </c>
      <c r="B137" s="197" t="s">
        <v>62</v>
      </c>
      <c r="C137" s="197">
        <v>34357</v>
      </c>
      <c r="D137" s="197"/>
      <c r="E137" s="198" t="s">
        <v>147</v>
      </c>
      <c r="F137" s="197" t="s">
        <v>64</v>
      </c>
      <c r="G137" s="199">
        <v>0.42</v>
      </c>
      <c r="H137" s="199">
        <v>3.17</v>
      </c>
      <c r="I137" s="199" t="s">
        <v>1193</v>
      </c>
      <c r="J137" s="199">
        <f t="shared" si="4"/>
        <v>1.3313999999999999</v>
      </c>
      <c r="K137" s="199"/>
      <c r="L137" s="199"/>
      <c r="M137" s="199"/>
      <c r="N137" s="199"/>
      <c r="O137" s="199"/>
      <c r="P137" s="199"/>
      <c r="Q137" s="199"/>
    </row>
    <row r="138" spans="1:17" s="25" customFormat="1" ht="30" x14ac:dyDescent="0.25">
      <c r="A138" s="200" t="s">
        <v>22</v>
      </c>
      <c r="B138" s="201" t="s">
        <v>62</v>
      </c>
      <c r="C138" s="201">
        <v>533</v>
      </c>
      <c r="D138" s="201"/>
      <c r="E138" s="204" t="s">
        <v>148</v>
      </c>
      <c r="F138" s="201" t="s">
        <v>33</v>
      </c>
      <c r="G138" s="203">
        <v>1.06</v>
      </c>
      <c r="H138" s="203">
        <v>17.95</v>
      </c>
      <c r="I138" s="203" t="s">
        <v>1193</v>
      </c>
      <c r="J138" s="203">
        <f t="shared" si="4"/>
        <v>19.027000000000001</v>
      </c>
      <c r="K138" s="203"/>
      <c r="L138" s="203"/>
      <c r="M138" s="203"/>
      <c r="N138" s="203"/>
      <c r="O138" s="203"/>
      <c r="P138" s="203"/>
      <c r="Q138" s="203"/>
    </row>
    <row r="139" spans="1:17" s="25" customFormat="1" x14ac:dyDescent="0.25">
      <c r="A139" s="159"/>
      <c r="B139" s="160"/>
      <c r="C139" s="160"/>
      <c r="D139" s="160"/>
      <c r="E139" s="161"/>
      <c r="F139" s="160"/>
      <c r="G139" s="162"/>
      <c r="H139" s="162"/>
      <c r="I139" s="162" t="s">
        <v>1193</v>
      </c>
      <c r="J139" s="162"/>
      <c r="K139" s="162"/>
      <c r="L139" s="162"/>
      <c r="M139" s="162"/>
      <c r="N139" s="162"/>
      <c r="O139" s="162"/>
      <c r="P139" s="162"/>
      <c r="Q139" s="162"/>
    </row>
    <row r="140" spans="1:17" s="25" customFormat="1" ht="30" x14ac:dyDescent="0.25">
      <c r="A140" s="149" t="s">
        <v>149</v>
      </c>
      <c r="B140" s="148"/>
      <c r="C140" s="148"/>
      <c r="D140" s="143" t="s">
        <v>150</v>
      </c>
      <c r="E140" s="144" t="s">
        <v>151</v>
      </c>
      <c r="F140" s="143" t="s">
        <v>152</v>
      </c>
      <c r="G140" s="146"/>
      <c r="H140" s="146"/>
      <c r="I140" s="146">
        <v>0.67</v>
      </c>
      <c r="J140" s="146">
        <f>SUM(J141:J144)</f>
        <v>3.2745885000000006</v>
      </c>
      <c r="K140" s="146">
        <f>SUM(K141:K144)</f>
        <v>3.7379663999999995</v>
      </c>
      <c r="L140" s="146">
        <f>J140+K140</f>
        <v>7.0125548999999996</v>
      </c>
      <c r="M140" s="146">
        <f>J140*I140</f>
        <v>2.1939742950000003</v>
      </c>
      <c r="N140" s="146">
        <f>K140*I140</f>
        <v>2.5044374879999998</v>
      </c>
      <c r="O140" s="146">
        <f>M140+N140</f>
        <v>4.6984117830000001</v>
      </c>
      <c r="P140" s="146">
        <f>O140*$P$1</f>
        <v>1.2056124635178</v>
      </c>
      <c r="Q140" s="146">
        <f>P140+O140</f>
        <v>5.9040242465177997</v>
      </c>
    </row>
    <row r="141" spans="1:17" s="25" customFormat="1" x14ac:dyDescent="0.25">
      <c r="A141" s="196" t="s">
        <v>22</v>
      </c>
      <c r="B141" s="197" t="s">
        <v>27</v>
      </c>
      <c r="C141" s="197">
        <v>88309</v>
      </c>
      <c r="D141" s="197"/>
      <c r="E141" s="198" t="s">
        <v>65</v>
      </c>
      <c r="F141" s="197" t="s">
        <v>29</v>
      </c>
      <c r="G141" s="199">
        <v>0.1</v>
      </c>
      <c r="H141" s="199">
        <v>24.51</v>
      </c>
      <c r="I141" s="199" t="s">
        <v>1193</v>
      </c>
      <c r="J141" s="199">
        <f>0.2565*H141*G141</f>
        <v>0.62868150000000012</v>
      </c>
      <c r="K141" s="199">
        <f>0.7434*H141*G141</f>
        <v>1.8220734000000001</v>
      </c>
      <c r="L141" s="199"/>
      <c r="M141" s="199"/>
      <c r="N141" s="199"/>
      <c r="O141" s="199"/>
      <c r="P141" s="199"/>
      <c r="Q141" s="199"/>
    </row>
    <row r="142" spans="1:17" s="25" customFormat="1" x14ac:dyDescent="0.25">
      <c r="A142" s="200" t="s">
        <v>22</v>
      </c>
      <c r="B142" s="201" t="s">
        <v>27</v>
      </c>
      <c r="C142" s="201">
        <v>88316</v>
      </c>
      <c r="D142" s="201"/>
      <c r="E142" s="202" t="s">
        <v>30</v>
      </c>
      <c r="F142" s="201" t="s">
        <v>29</v>
      </c>
      <c r="G142" s="203">
        <v>0.15</v>
      </c>
      <c r="H142" s="203">
        <v>18.899999999999999</v>
      </c>
      <c r="I142" s="203" t="s">
        <v>1193</v>
      </c>
      <c r="J142" s="203">
        <f>0.3242*H142*G142</f>
        <v>0.9191069999999999</v>
      </c>
      <c r="K142" s="203">
        <f>0.6758*H142*G142</f>
        <v>1.9158929999999996</v>
      </c>
      <c r="L142" s="203"/>
      <c r="M142" s="203"/>
      <c r="N142" s="203"/>
      <c r="O142" s="203"/>
      <c r="P142" s="203"/>
      <c r="Q142" s="203"/>
    </row>
    <row r="143" spans="1:17" s="25" customFormat="1" x14ac:dyDescent="0.25">
      <c r="A143" s="196" t="s">
        <v>22</v>
      </c>
      <c r="B143" s="197" t="s">
        <v>62</v>
      </c>
      <c r="C143" s="197">
        <v>1379</v>
      </c>
      <c r="D143" s="197"/>
      <c r="E143" s="198" t="s">
        <v>153</v>
      </c>
      <c r="F143" s="197" t="s">
        <v>64</v>
      </c>
      <c r="G143" s="199">
        <v>2.4300000000000002</v>
      </c>
      <c r="H143" s="203">
        <v>0.56000000000000005</v>
      </c>
      <c r="I143" s="199" t="s">
        <v>1193</v>
      </c>
      <c r="J143" s="199">
        <f t="shared" ref="J143:J144" si="5">H143*G143</f>
        <v>1.3608000000000002</v>
      </c>
      <c r="K143" s="199"/>
      <c r="L143" s="199"/>
      <c r="M143" s="199"/>
      <c r="N143" s="199"/>
      <c r="O143" s="199"/>
      <c r="P143" s="199"/>
      <c r="Q143" s="199"/>
    </row>
    <row r="144" spans="1:17" s="25" customFormat="1" x14ac:dyDescent="0.25">
      <c r="A144" s="200" t="s">
        <v>22</v>
      </c>
      <c r="B144" s="201" t="s">
        <v>62</v>
      </c>
      <c r="C144" s="201">
        <v>370</v>
      </c>
      <c r="D144" s="201"/>
      <c r="E144" s="202" t="s">
        <v>154</v>
      </c>
      <c r="F144" s="201" t="s">
        <v>113</v>
      </c>
      <c r="G144" s="203">
        <v>6.1000000000000004E-3</v>
      </c>
      <c r="H144" s="203">
        <v>60</v>
      </c>
      <c r="I144" s="203" t="s">
        <v>1193</v>
      </c>
      <c r="J144" s="203">
        <f t="shared" si="5"/>
        <v>0.36600000000000005</v>
      </c>
      <c r="K144" s="203"/>
      <c r="L144" s="203"/>
      <c r="M144" s="203"/>
      <c r="N144" s="203"/>
      <c r="O144" s="203"/>
      <c r="P144" s="203"/>
      <c r="Q144" s="203"/>
    </row>
    <row r="145" spans="1:17" s="25" customFormat="1" x14ac:dyDescent="0.25">
      <c r="A145" s="159"/>
      <c r="B145" s="160"/>
      <c r="C145" s="160"/>
      <c r="D145" s="160"/>
      <c r="E145" s="161"/>
      <c r="F145" s="160"/>
      <c r="G145" s="162"/>
      <c r="H145" s="162"/>
      <c r="I145" s="162" t="s">
        <v>1193</v>
      </c>
      <c r="J145" s="162"/>
      <c r="K145" s="162"/>
      <c r="L145" s="162"/>
      <c r="M145" s="162"/>
      <c r="N145" s="162"/>
      <c r="O145" s="162"/>
      <c r="P145" s="162"/>
      <c r="Q145" s="162"/>
    </row>
    <row r="146" spans="1:17" s="25" customFormat="1" ht="30" x14ac:dyDescent="0.25">
      <c r="A146" s="149" t="s">
        <v>35</v>
      </c>
      <c r="B146" s="148"/>
      <c r="C146" s="148" t="s">
        <v>155</v>
      </c>
      <c r="D146" s="143" t="s">
        <v>156</v>
      </c>
      <c r="E146" s="144" t="s">
        <v>157</v>
      </c>
      <c r="F146" s="143" t="s">
        <v>152</v>
      </c>
      <c r="G146" s="146"/>
      <c r="H146" s="146"/>
      <c r="I146" s="146">
        <v>0.67</v>
      </c>
      <c r="J146" s="146">
        <f>SUM(J147:J148)</f>
        <v>3.2530222499999999</v>
      </c>
      <c r="K146" s="146">
        <f>SUM(K147:K148)</f>
        <v>2.7331100999999998</v>
      </c>
      <c r="L146" s="146">
        <f>J146+K146</f>
        <v>5.9861323500000001</v>
      </c>
      <c r="M146" s="146">
        <f>J146*I146</f>
        <v>2.1795249075000003</v>
      </c>
      <c r="N146" s="146">
        <f>K146*I146</f>
        <v>1.831183767</v>
      </c>
      <c r="O146" s="146">
        <f>M146+N146</f>
        <v>4.0107086745</v>
      </c>
      <c r="P146" s="146">
        <f>O146*$P$1</f>
        <v>1.0291478458767001</v>
      </c>
      <c r="Q146" s="146">
        <f>P146+O146</f>
        <v>5.0398565203767003</v>
      </c>
    </row>
    <row r="147" spans="1:17" s="25" customFormat="1" x14ac:dyDescent="0.25">
      <c r="A147" s="196" t="s">
        <v>22</v>
      </c>
      <c r="B147" s="197" t="s">
        <v>27</v>
      </c>
      <c r="C147" s="197">
        <v>88309</v>
      </c>
      <c r="D147" s="197"/>
      <c r="E147" s="198" t="s">
        <v>65</v>
      </c>
      <c r="F147" s="197" t="s">
        <v>29</v>
      </c>
      <c r="G147" s="199">
        <v>0.15</v>
      </c>
      <c r="H147" s="199">
        <v>24.51</v>
      </c>
      <c r="I147" s="199" t="s">
        <v>1193</v>
      </c>
      <c r="J147" s="199">
        <f>0.2565*H147*G147</f>
        <v>0.94302225000000006</v>
      </c>
      <c r="K147" s="199">
        <f>0.7434*H147*G147</f>
        <v>2.7331100999999998</v>
      </c>
      <c r="L147" s="199"/>
      <c r="M147" s="199"/>
      <c r="N147" s="199"/>
      <c r="O147" s="199"/>
      <c r="P147" s="199"/>
      <c r="Q147" s="199"/>
    </row>
    <row r="148" spans="1:17" s="25" customFormat="1" x14ac:dyDescent="0.25">
      <c r="A148" s="200" t="s">
        <v>22</v>
      </c>
      <c r="B148" s="201" t="s">
        <v>62</v>
      </c>
      <c r="C148" s="201">
        <v>38124</v>
      </c>
      <c r="D148" s="201"/>
      <c r="E148" s="202" t="s">
        <v>158</v>
      </c>
      <c r="F148" s="201" t="s">
        <v>1215</v>
      </c>
      <c r="G148" s="203">
        <v>0.11</v>
      </c>
      <c r="H148" s="203">
        <v>21</v>
      </c>
      <c r="I148" s="203" t="s">
        <v>1193</v>
      </c>
      <c r="J148" s="203">
        <f>H148*G148</f>
        <v>2.31</v>
      </c>
      <c r="K148" s="203"/>
      <c r="L148" s="203"/>
      <c r="M148" s="203"/>
      <c r="N148" s="203"/>
      <c r="O148" s="203"/>
      <c r="P148" s="203"/>
      <c r="Q148" s="203"/>
    </row>
    <row r="149" spans="1:17" s="25" customFormat="1" x14ac:dyDescent="0.25">
      <c r="A149" s="159"/>
      <c r="B149" s="160"/>
      <c r="C149" s="160"/>
      <c r="D149" s="160"/>
      <c r="E149" s="161"/>
      <c r="F149" s="160"/>
      <c r="G149" s="162"/>
      <c r="H149" s="162"/>
      <c r="I149" s="162" t="s">
        <v>1193</v>
      </c>
      <c r="J149" s="162"/>
      <c r="K149" s="162"/>
      <c r="L149" s="162"/>
      <c r="M149" s="162"/>
      <c r="N149" s="162"/>
      <c r="O149" s="162"/>
      <c r="P149" s="162"/>
      <c r="Q149" s="162"/>
    </row>
    <row r="150" spans="1:17" s="25" customFormat="1" ht="30" x14ac:dyDescent="0.25">
      <c r="A150" s="149" t="s">
        <v>35</v>
      </c>
      <c r="B150" s="148"/>
      <c r="C150" s="148" t="s">
        <v>159</v>
      </c>
      <c r="D150" s="143" t="s">
        <v>160</v>
      </c>
      <c r="E150" s="144" t="s">
        <v>161</v>
      </c>
      <c r="F150" s="143" t="s">
        <v>152</v>
      </c>
      <c r="G150" s="146"/>
      <c r="H150" s="146"/>
      <c r="I150" s="146">
        <v>0.67</v>
      </c>
      <c r="J150" s="146">
        <f>SUM(J151:J154)</f>
        <v>7.3349459250000004</v>
      </c>
      <c r="K150" s="146">
        <f>SUM(K151:K154)</f>
        <v>10.513051169999999</v>
      </c>
      <c r="L150" s="146">
        <f>J150+K150</f>
        <v>17.847997095</v>
      </c>
      <c r="M150" s="146">
        <f>J150*I150</f>
        <v>4.9144137697500003</v>
      </c>
      <c r="N150" s="146">
        <f>K150*I150</f>
        <v>7.0437442838999997</v>
      </c>
      <c r="O150" s="146">
        <f>M150+N150</f>
        <v>11.958158053649999</v>
      </c>
      <c r="P150" s="146">
        <f>O150*$P$1</f>
        <v>3.0684633565665895</v>
      </c>
      <c r="Q150" s="146">
        <f>P150+O150</f>
        <v>15.026621410216588</v>
      </c>
    </row>
    <row r="151" spans="1:17" s="25" customFormat="1" x14ac:dyDescent="0.25">
      <c r="A151" s="196" t="s">
        <v>22</v>
      </c>
      <c r="B151" s="197" t="s">
        <v>27</v>
      </c>
      <c r="C151" s="197">
        <v>88309</v>
      </c>
      <c r="D151" s="197"/>
      <c r="E151" s="198" t="s">
        <v>65</v>
      </c>
      <c r="F151" s="197" t="s">
        <v>29</v>
      </c>
      <c r="G151" s="199">
        <v>0.155</v>
      </c>
      <c r="H151" s="199">
        <v>24.51</v>
      </c>
      <c r="I151" s="199" t="s">
        <v>1193</v>
      </c>
      <c r="J151" s="199">
        <f>0.2565*H151*G151</f>
        <v>0.97445632500000012</v>
      </c>
      <c r="K151" s="199">
        <f>0.7434*H151*G151</f>
        <v>2.8242137700000001</v>
      </c>
      <c r="L151" s="199"/>
      <c r="M151" s="199"/>
      <c r="N151" s="199"/>
      <c r="O151" s="199"/>
      <c r="P151" s="199"/>
      <c r="Q151" s="199"/>
    </row>
    <row r="152" spans="1:17" s="25" customFormat="1" x14ac:dyDescent="0.25">
      <c r="A152" s="200" t="s">
        <v>22</v>
      </c>
      <c r="B152" s="201" t="s">
        <v>27</v>
      </c>
      <c r="C152" s="201">
        <v>88316</v>
      </c>
      <c r="D152" s="201"/>
      <c r="E152" s="202" t="s">
        <v>30</v>
      </c>
      <c r="F152" s="201" t="s">
        <v>29</v>
      </c>
      <c r="G152" s="203">
        <v>0.6</v>
      </c>
      <c r="H152" s="203">
        <v>18.899999999999999</v>
      </c>
      <c r="I152" s="203" t="s">
        <v>1193</v>
      </c>
      <c r="J152" s="203">
        <f>0.3242*H152*G152</f>
        <v>3.6764279999999996</v>
      </c>
      <c r="K152" s="203">
        <f>0.6758*H152*G152</f>
        <v>7.6635719999999985</v>
      </c>
      <c r="L152" s="203"/>
      <c r="M152" s="203"/>
      <c r="N152" s="203"/>
      <c r="O152" s="203"/>
      <c r="P152" s="203"/>
      <c r="Q152" s="203"/>
    </row>
    <row r="153" spans="1:17" s="25" customFormat="1" x14ac:dyDescent="0.25">
      <c r="A153" s="196" t="s">
        <v>35</v>
      </c>
      <c r="B153" s="197" t="s">
        <v>62</v>
      </c>
      <c r="C153" s="201" t="s">
        <v>159</v>
      </c>
      <c r="D153" s="197"/>
      <c r="E153" s="198" t="s">
        <v>162</v>
      </c>
      <c r="F153" s="197" t="s">
        <v>39</v>
      </c>
      <c r="G153" s="199">
        <v>1.05</v>
      </c>
      <c r="H153" s="203">
        <v>2.46</v>
      </c>
      <c r="I153" s="199" t="s">
        <v>1193</v>
      </c>
      <c r="J153" s="199">
        <f>H153*G153</f>
        <v>2.5830000000000002</v>
      </c>
      <c r="K153" s="199"/>
      <c r="L153" s="199"/>
      <c r="M153" s="199"/>
      <c r="N153" s="199"/>
      <c r="O153" s="199"/>
      <c r="P153" s="199"/>
      <c r="Q153" s="199"/>
    </row>
    <row r="154" spans="1:17" s="25" customFormat="1" x14ac:dyDescent="0.25">
      <c r="A154" s="200" t="s">
        <v>35</v>
      </c>
      <c r="B154" s="201" t="s">
        <v>27</v>
      </c>
      <c r="C154" s="201" t="s">
        <v>159</v>
      </c>
      <c r="D154" s="201"/>
      <c r="E154" s="204" t="s">
        <v>163</v>
      </c>
      <c r="F154" s="201" t="s">
        <v>113</v>
      </c>
      <c r="G154" s="203">
        <v>2.9999999999999997E-4</v>
      </c>
      <c r="H154" s="203">
        <v>421.09</v>
      </c>
      <c r="I154" s="203" t="s">
        <v>1193</v>
      </c>
      <c r="J154" s="203">
        <f>H154*G154*0.8</f>
        <v>0.1010616</v>
      </c>
      <c r="K154" s="203">
        <f>0.2*G154*H154</f>
        <v>2.5265399999999997E-2</v>
      </c>
      <c r="L154" s="203"/>
      <c r="M154" s="203"/>
      <c r="N154" s="203"/>
      <c r="O154" s="203"/>
      <c r="P154" s="203"/>
      <c r="Q154" s="203"/>
    </row>
    <row r="155" spans="1:17" s="25" customFormat="1" x14ac:dyDescent="0.25">
      <c r="A155" s="159"/>
      <c r="B155" s="160"/>
      <c r="C155" s="160"/>
      <c r="D155" s="160"/>
      <c r="E155" s="161"/>
      <c r="F155" s="160"/>
      <c r="G155" s="162"/>
      <c r="H155" s="162"/>
      <c r="I155" s="162" t="s">
        <v>1193</v>
      </c>
      <c r="J155" s="162"/>
      <c r="K155" s="162"/>
      <c r="L155" s="162"/>
      <c r="M155" s="162"/>
      <c r="N155" s="162"/>
      <c r="O155" s="162"/>
      <c r="P155" s="162"/>
      <c r="Q155" s="162"/>
    </row>
    <row r="156" spans="1:17" s="25" customFormat="1" ht="15.75" x14ac:dyDescent="0.25">
      <c r="A156" s="136"/>
      <c r="B156" s="97"/>
      <c r="C156" s="97"/>
      <c r="D156" s="97">
        <v>4</v>
      </c>
      <c r="E156" s="98" t="s">
        <v>164</v>
      </c>
      <c r="F156" s="97"/>
      <c r="G156" s="97"/>
      <c r="H156" s="330"/>
      <c r="I156" s="97" t="s">
        <v>1193</v>
      </c>
      <c r="J156" s="330"/>
      <c r="K156" s="330"/>
      <c r="L156" s="330"/>
      <c r="M156" s="330"/>
      <c r="N156" s="330"/>
      <c r="O156" s="330"/>
      <c r="P156" s="330"/>
      <c r="Q156" s="330">
        <f>SUM(Q158:Q196)</f>
        <v>308.10032938946409</v>
      </c>
    </row>
    <row r="157" spans="1:17" s="25" customFormat="1" x14ac:dyDescent="0.25">
      <c r="A157" s="159"/>
      <c r="B157" s="160"/>
      <c r="C157" s="160"/>
      <c r="D157" s="160"/>
      <c r="E157" s="161"/>
      <c r="F157" s="160"/>
      <c r="G157" s="162"/>
      <c r="H157" s="162"/>
      <c r="I157" s="162" t="s">
        <v>1193</v>
      </c>
      <c r="J157" s="162"/>
      <c r="K157" s="162"/>
      <c r="L157" s="162"/>
      <c r="M157" s="162"/>
      <c r="N157" s="162"/>
      <c r="O157" s="162"/>
      <c r="P157" s="162"/>
      <c r="Q157" s="162"/>
    </row>
    <row r="158" spans="1:17" s="25" customFormat="1" ht="78" customHeight="1" x14ac:dyDescent="0.25">
      <c r="A158" s="150" t="s">
        <v>35</v>
      </c>
      <c r="B158" s="151"/>
      <c r="C158" s="148" t="s">
        <v>165</v>
      </c>
      <c r="D158" s="143" t="s">
        <v>166</v>
      </c>
      <c r="E158" s="144" t="s">
        <v>167</v>
      </c>
      <c r="F158" s="143" t="s">
        <v>33</v>
      </c>
      <c r="G158" s="146"/>
      <c r="H158" s="146"/>
      <c r="I158" s="146">
        <v>0.67</v>
      </c>
      <c r="J158" s="146">
        <f>SUM(J159:J161)</f>
        <v>64.832087599999994</v>
      </c>
      <c r="K158" s="146">
        <f>SUM(K159:K161)</f>
        <v>36.390963599999999</v>
      </c>
      <c r="L158" s="146">
        <f>J158+K158</f>
        <v>101.22305119999999</v>
      </c>
      <c r="M158" s="146">
        <f>J158*I158</f>
        <v>43.437498691999998</v>
      </c>
      <c r="N158" s="146">
        <f>K158*I158</f>
        <v>24.381945612000003</v>
      </c>
      <c r="O158" s="146">
        <f>M158+N158</f>
        <v>67.819444304000001</v>
      </c>
      <c r="P158" s="146">
        <f>O158*$P$1</f>
        <v>17.4024694084064</v>
      </c>
      <c r="Q158" s="146">
        <f>P158+O158</f>
        <v>85.221913712406405</v>
      </c>
    </row>
    <row r="159" spans="1:17" s="25" customFormat="1" x14ac:dyDescent="0.25">
      <c r="A159" s="196" t="s">
        <v>22</v>
      </c>
      <c r="B159" s="197" t="s">
        <v>27</v>
      </c>
      <c r="C159" s="197">
        <v>88239</v>
      </c>
      <c r="D159" s="197"/>
      <c r="E159" s="198" t="s">
        <v>168</v>
      </c>
      <c r="F159" s="197" t="s">
        <v>29</v>
      </c>
      <c r="G159" s="199">
        <v>1.2</v>
      </c>
      <c r="H159" s="199">
        <v>18.829999999999998</v>
      </c>
      <c r="I159" s="199" t="s">
        <v>1193</v>
      </c>
      <c r="J159" s="199">
        <f>0.3021*H159*G159</f>
        <v>6.8262515999999991</v>
      </c>
      <c r="K159" s="199">
        <f>0.6978*H159*G159</f>
        <v>15.767488799999997</v>
      </c>
      <c r="L159" s="199"/>
      <c r="M159" s="199"/>
      <c r="N159" s="199"/>
      <c r="O159" s="199"/>
      <c r="P159" s="199"/>
      <c r="Q159" s="199"/>
    </row>
    <row r="160" spans="1:17" s="25" customFormat="1" x14ac:dyDescent="0.25">
      <c r="A160" s="200" t="s">
        <v>22</v>
      </c>
      <c r="B160" s="201" t="s">
        <v>27</v>
      </c>
      <c r="C160" s="201">
        <v>88278</v>
      </c>
      <c r="D160" s="201"/>
      <c r="E160" s="202" t="s">
        <v>106</v>
      </c>
      <c r="F160" s="201" t="s">
        <v>29</v>
      </c>
      <c r="G160" s="203">
        <v>1.2</v>
      </c>
      <c r="H160" s="203">
        <v>22.41</v>
      </c>
      <c r="I160" s="203" t="s">
        <v>1193</v>
      </c>
      <c r="J160" s="203">
        <f>0.233*G160*H160</f>
        <v>6.2658360000000002</v>
      </c>
      <c r="K160" s="203">
        <f>0.7669*H160*G160</f>
        <v>20.6234748</v>
      </c>
      <c r="L160" s="203"/>
      <c r="M160" s="203"/>
      <c r="N160" s="203"/>
      <c r="O160" s="203"/>
      <c r="P160" s="203"/>
      <c r="Q160" s="203"/>
    </row>
    <row r="161" spans="1:17" s="25" customFormat="1" ht="30" x14ac:dyDescent="0.25">
      <c r="A161" s="196" t="s">
        <v>35</v>
      </c>
      <c r="B161" s="197" t="s">
        <v>62</v>
      </c>
      <c r="C161" s="206" t="s">
        <v>165</v>
      </c>
      <c r="D161" s="197"/>
      <c r="E161" s="207" t="s">
        <v>169</v>
      </c>
      <c r="F161" s="197" t="s">
        <v>33</v>
      </c>
      <c r="G161" s="199">
        <v>1</v>
      </c>
      <c r="H161" s="199">
        <v>51.74</v>
      </c>
      <c r="I161" s="199" t="s">
        <v>1193</v>
      </c>
      <c r="J161" s="199">
        <f>G161*H161</f>
        <v>51.74</v>
      </c>
      <c r="K161" s="199"/>
      <c r="L161" s="199"/>
      <c r="M161" s="199"/>
      <c r="N161" s="199"/>
      <c r="O161" s="199"/>
      <c r="P161" s="199"/>
      <c r="Q161" s="199"/>
    </row>
    <row r="162" spans="1:17" s="25" customFormat="1" x14ac:dyDescent="0.25">
      <c r="A162" s="163"/>
      <c r="B162" s="101"/>
      <c r="C162" s="101"/>
      <c r="D162" s="101"/>
      <c r="E162" s="102"/>
      <c r="F162" s="101"/>
      <c r="G162" s="96"/>
      <c r="H162" s="96"/>
      <c r="I162" s="96" t="s">
        <v>1193</v>
      </c>
      <c r="J162" s="96"/>
      <c r="K162" s="96"/>
      <c r="L162" s="96"/>
      <c r="M162" s="96"/>
      <c r="N162" s="96"/>
      <c r="O162" s="96"/>
      <c r="P162" s="96"/>
      <c r="Q162" s="96"/>
    </row>
    <row r="163" spans="1:17" s="25" customFormat="1" ht="97.9" customHeight="1" x14ac:dyDescent="0.25">
      <c r="A163" s="152" t="s">
        <v>22</v>
      </c>
      <c r="B163" s="153"/>
      <c r="C163" s="151">
        <v>96114</v>
      </c>
      <c r="D163" s="143" t="s">
        <v>170</v>
      </c>
      <c r="E163" s="144" t="s">
        <v>171</v>
      </c>
      <c r="F163" s="143" t="s">
        <v>33</v>
      </c>
      <c r="G163" s="146"/>
      <c r="H163" s="146"/>
      <c r="I163" s="146">
        <v>0.67</v>
      </c>
      <c r="J163" s="146">
        <f>SUM(J164:J174)</f>
        <v>75.687169766000025</v>
      </c>
      <c r="K163" s="146">
        <f>SUM(K164:K174)</f>
        <v>10.863078647399998</v>
      </c>
      <c r="L163" s="146">
        <f>J163+K163</f>
        <v>86.550248413400027</v>
      </c>
      <c r="M163" s="146">
        <f>J163*I163</f>
        <v>50.71040374322002</v>
      </c>
      <c r="N163" s="146">
        <f>K163*I163</f>
        <v>7.2782626937579993</v>
      </c>
      <c r="O163" s="146">
        <f>M163+N163</f>
        <v>57.988666436978022</v>
      </c>
      <c r="P163" s="146">
        <f>O163*$P$1</f>
        <v>14.87989180772856</v>
      </c>
      <c r="Q163" s="146">
        <f>P163+O163</f>
        <v>72.868558244706577</v>
      </c>
    </row>
    <row r="164" spans="1:17" s="25" customFormat="1" x14ac:dyDescent="0.25">
      <c r="A164" s="210" t="s">
        <v>22</v>
      </c>
      <c r="B164" s="201" t="s">
        <v>27</v>
      </c>
      <c r="C164" s="211">
        <v>88278</v>
      </c>
      <c r="D164" s="211"/>
      <c r="E164" s="204" t="s">
        <v>172</v>
      </c>
      <c r="F164" s="211" t="s">
        <v>29</v>
      </c>
      <c r="G164" s="212">
        <v>0.36259999999999998</v>
      </c>
      <c r="H164" s="203">
        <v>22.41</v>
      </c>
      <c r="I164" s="203" t="s">
        <v>1193</v>
      </c>
      <c r="J164" s="203">
        <f>0.233*G164*H164</f>
        <v>1.893326778</v>
      </c>
      <c r="K164" s="203">
        <f>0.7669*H164*G164</f>
        <v>6.2317266354000003</v>
      </c>
      <c r="L164" s="218"/>
      <c r="M164" s="218"/>
      <c r="N164" s="218"/>
      <c r="O164" s="218"/>
      <c r="P164" s="218"/>
      <c r="Q164" s="218"/>
    </row>
    <row r="165" spans="1:17" s="25" customFormat="1" x14ac:dyDescent="0.25">
      <c r="A165" s="213" t="s">
        <v>22</v>
      </c>
      <c r="B165" s="197" t="s">
        <v>27</v>
      </c>
      <c r="C165" s="214">
        <v>88316</v>
      </c>
      <c r="D165" s="214"/>
      <c r="E165" s="215" t="s">
        <v>30</v>
      </c>
      <c r="F165" s="214" t="s">
        <v>29</v>
      </c>
      <c r="G165" s="216">
        <v>0.36259999999999998</v>
      </c>
      <c r="H165" s="203">
        <v>18.899999999999999</v>
      </c>
      <c r="I165" s="199" t="s">
        <v>1193</v>
      </c>
      <c r="J165" s="199">
        <f>0.3242*H165*G165</f>
        <v>2.2217879879999995</v>
      </c>
      <c r="K165" s="199">
        <f>0.6758*H165*G165</f>
        <v>4.6313520119999989</v>
      </c>
      <c r="L165" s="219"/>
      <c r="M165" s="219"/>
      <c r="N165" s="219"/>
      <c r="O165" s="219"/>
      <c r="P165" s="219"/>
      <c r="Q165" s="219"/>
    </row>
    <row r="166" spans="1:17" s="25" customFormat="1" ht="30" x14ac:dyDescent="0.25">
      <c r="A166" s="210" t="s">
        <v>22</v>
      </c>
      <c r="B166" s="217" t="s">
        <v>173</v>
      </c>
      <c r="C166" s="211">
        <v>39566</v>
      </c>
      <c r="D166" s="201"/>
      <c r="E166" s="204" t="s">
        <v>174</v>
      </c>
      <c r="F166" s="201" t="s">
        <v>33</v>
      </c>
      <c r="G166" s="212">
        <v>1.095</v>
      </c>
      <c r="H166" s="212">
        <v>36.520000000000003</v>
      </c>
      <c r="I166" s="203" t="s">
        <v>1193</v>
      </c>
      <c r="J166" s="203">
        <f t="shared" ref="J166:J174" si="6">G166*H166</f>
        <v>39.989400000000003</v>
      </c>
      <c r="K166" s="203"/>
      <c r="L166" s="203"/>
      <c r="M166" s="203"/>
      <c r="N166" s="203"/>
      <c r="O166" s="203"/>
      <c r="P166" s="203"/>
      <c r="Q166" s="203"/>
    </row>
    <row r="167" spans="1:17" s="25" customFormat="1" ht="30" x14ac:dyDescent="0.25">
      <c r="A167" s="213" t="s">
        <v>22</v>
      </c>
      <c r="B167" s="197" t="s">
        <v>62</v>
      </c>
      <c r="C167" s="214">
        <v>39427</v>
      </c>
      <c r="D167" s="197"/>
      <c r="E167" s="207" t="s">
        <v>175</v>
      </c>
      <c r="F167" s="197" t="s">
        <v>39</v>
      </c>
      <c r="G167" s="216">
        <v>3.85</v>
      </c>
      <c r="H167" s="216">
        <v>5.55</v>
      </c>
      <c r="I167" s="199" t="s">
        <v>1193</v>
      </c>
      <c r="J167" s="199">
        <f t="shared" si="6"/>
        <v>21.3675</v>
      </c>
      <c r="K167" s="199"/>
      <c r="L167" s="199"/>
      <c r="M167" s="199"/>
      <c r="N167" s="199"/>
      <c r="O167" s="199"/>
      <c r="P167" s="199"/>
      <c r="Q167" s="199"/>
    </row>
    <row r="168" spans="1:17" s="25" customFormat="1" ht="30" x14ac:dyDescent="0.25">
      <c r="A168" s="210" t="s">
        <v>22</v>
      </c>
      <c r="B168" s="201" t="s">
        <v>62</v>
      </c>
      <c r="C168" s="211">
        <v>39430</v>
      </c>
      <c r="D168" s="211"/>
      <c r="E168" s="204" t="s">
        <v>176</v>
      </c>
      <c r="F168" s="211" t="s">
        <v>1215</v>
      </c>
      <c r="G168" s="216">
        <v>2.09</v>
      </c>
      <c r="H168" s="212">
        <v>1.78</v>
      </c>
      <c r="I168" s="218" t="s">
        <v>1193</v>
      </c>
      <c r="J168" s="225">
        <f t="shared" si="6"/>
        <v>3.7201999999999997</v>
      </c>
      <c r="K168" s="218"/>
      <c r="L168" s="218"/>
      <c r="M168" s="218"/>
      <c r="N168" s="218"/>
      <c r="O168" s="218"/>
      <c r="P168" s="218"/>
      <c r="Q168" s="218"/>
    </row>
    <row r="169" spans="1:17" s="25" customFormat="1" ht="30" x14ac:dyDescent="0.25">
      <c r="A169" s="213" t="s">
        <v>22</v>
      </c>
      <c r="B169" s="197" t="s">
        <v>62</v>
      </c>
      <c r="C169" s="214">
        <v>39432</v>
      </c>
      <c r="D169" s="214"/>
      <c r="E169" s="207" t="s">
        <v>95</v>
      </c>
      <c r="F169" s="214" t="s">
        <v>39</v>
      </c>
      <c r="G169" s="216">
        <v>1.44</v>
      </c>
      <c r="H169" s="212">
        <v>1.98</v>
      </c>
      <c r="I169" s="219" t="s">
        <v>1193</v>
      </c>
      <c r="J169" s="241">
        <f t="shared" si="6"/>
        <v>2.8512</v>
      </c>
      <c r="K169" s="199"/>
      <c r="L169" s="199"/>
      <c r="M169" s="199"/>
      <c r="N169" s="199"/>
      <c r="O169" s="199"/>
      <c r="P169" s="199"/>
      <c r="Q169" s="199"/>
    </row>
    <row r="170" spans="1:17" s="25" customFormat="1" ht="30" x14ac:dyDescent="0.25">
      <c r="A170" s="210" t="s">
        <v>22</v>
      </c>
      <c r="B170" s="201" t="s">
        <v>62</v>
      </c>
      <c r="C170" s="211">
        <v>39434</v>
      </c>
      <c r="D170" s="211"/>
      <c r="E170" s="204" t="s">
        <v>96</v>
      </c>
      <c r="F170" s="211" t="s">
        <v>64</v>
      </c>
      <c r="G170" s="212">
        <v>0.51800000000000002</v>
      </c>
      <c r="H170" s="212">
        <v>2.63</v>
      </c>
      <c r="I170" s="218" t="s">
        <v>1193</v>
      </c>
      <c r="J170" s="225">
        <f t="shared" si="6"/>
        <v>1.3623399999999999</v>
      </c>
      <c r="K170" s="203"/>
      <c r="L170" s="203"/>
      <c r="M170" s="203"/>
      <c r="N170" s="203"/>
      <c r="O170" s="203"/>
      <c r="P170" s="203"/>
      <c r="Q170" s="203"/>
    </row>
    <row r="171" spans="1:17" s="25" customFormat="1" ht="30" x14ac:dyDescent="0.25">
      <c r="A171" s="213" t="s">
        <v>22</v>
      </c>
      <c r="B171" s="197" t="s">
        <v>62</v>
      </c>
      <c r="C171" s="214">
        <v>39435</v>
      </c>
      <c r="D171" s="214"/>
      <c r="E171" s="207" t="s">
        <v>177</v>
      </c>
      <c r="F171" s="214" t="s">
        <v>1215</v>
      </c>
      <c r="G171" s="216">
        <v>7.97</v>
      </c>
      <c r="H171" s="216">
        <v>7.9000000000000001E-2</v>
      </c>
      <c r="I171" s="219" t="s">
        <v>1193</v>
      </c>
      <c r="J171" s="241">
        <f t="shared" si="6"/>
        <v>0.62963000000000002</v>
      </c>
      <c r="K171" s="219"/>
      <c r="L171" s="219"/>
      <c r="M171" s="219"/>
      <c r="N171" s="219"/>
      <c r="O171" s="219"/>
      <c r="P171" s="219"/>
      <c r="Q171" s="219"/>
    </row>
    <row r="172" spans="1:17" s="25" customFormat="1" ht="30" x14ac:dyDescent="0.25">
      <c r="A172" s="210" t="s">
        <v>22</v>
      </c>
      <c r="B172" s="201" t="s">
        <v>62</v>
      </c>
      <c r="C172" s="211">
        <v>39443</v>
      </c>
      <c r="D172" s="211"/>
      <c r="E172" s="204" t="s">
        <v>178</v>
      </c>
      <c r="F172" s="211" t="s">
        <v>1215</v>
      </c>
      <c r="G172" s="212">
        <v>2.19</v>
      </c>
      <c r="H172" s="212">
        <v>0.18</v>
      </c>
      <c r="I172" s="218" t="s">
        <v>1193</v>
      </c>
      <c r="J172" s="225">
        <f t="shared" si="6"/>
        <v>0.39419999999999999</v>
      </c>
      <c r="K172" s="218"/>
      <c r="L172" s="218"/>
      <c r="M172" s="218"/>
      <c r="N172" s="218"/>
      <c r="O172" s="218"/>
      <c r="P172" s="218"/>
      <c r="Q172" s="218"/>
    </row>
    <row r="173" spans="1:17" s="25" customFormat="1" x14ac:dyDescent="0.25">
      <c r="A173" s="213" t="s">
        <v>22</v>
      </c>
      <c r="B173" s="197" t="s">
        <v>62</v>
      </c>
      <c r="C173" s="214">
        <v>40547</v>
      </c>
      <c r="D173" s="214"/>
      <c r="E173" s="207" t="s">
        <v>179</v>
      </c>
      <c r="F173" s="214" t="s">
        <v>90</v>
      </c>
      <c r="G173" s="216">
        <v>1.32E-2</v>
      </c>
      <c r="H173" s="216">
        <v>20.83</v>
      </c>
      <c r="I173" s="219" t="s">
        <v>1193</v>
      </c>
      <c r="J173" s="241">
        <f t="shared" si="6"/>
        <v>0.27495599999999998</v>
      </c>
      <c r="K173" s="219"/>
      <c r="L173" s="219"/>
      <c r="M173" s="219"/>
      <c r="N173" s="219"/>
      <c r="O173" s="219"/>
      <c r="P173" s="219"/>
      <c r="Q173" s="219"/>
    </row>
    <row r="174" spans="1:17" s="25" customFormat="1" ht="30" x14ac:dyDescent="0.25">
      <c r="A174" s="210" t="s">
        <v>22</v>
      </c>
      <c r="B174" s="201" t="s">
        <v>62</v>
      </c>
      <c r="C174" s="211">
        <v>43131</v>
      </c>
      <c r="D174" s="211"/>
      <c r="E174" s="204" t="s">
        <v>180</v>
      </c>
      <c r="F174" s="211" t="s">
        <v>64</v>
      </c>
      <c r="G174" s="212">
        <v>4.2299999999999997E-2</v>
      </c>
      <c r="H174" s="212">
        <v>23.23</v>
      </c>
      <c r="I174" s="218" t="s">
        <v>1193</v>
      </c>
      <c r="J174" s="225">
        <f t="shared" si="6"/>
        <v>0.98262899999999997</v>
      </c>
      <c r="K174" s="218"/>
      <c r="L174" s="218"/>
      <c r="M174" s="218"/>
      <c r="N174" s="218"/>
      <c r="O174" s="218"/>
      <c r="P174" s="218"/>
      <c r="Q174" s="218"/>
    </row>
    <row r="175" spans="1:17" s="25" customFormat="1" x14ac:dyDescent="0.25">
      <c r="A175" s="159"/>
      <c r="B175" s="160"/>
      <c r="C175" s="160"/>
      <c r="D175" s="160"/>
      <c r="E175" s="161"/>
      <c r="F175" s="160"/>
      <c r="G175" s="162"/>
      <c r="H175" s="162"/>
      <c r="I175" s="162" t="s">
        <v>1193</v>
      </c>
      <c r="J175" s="162"/>
      <c r="K175" s="162"/>
      <c r="L175" s="162"/>
      <c r="M175" s="162"/>
      <c r="N175" s="162"/>
      <c r="O175" s="162"/>
      <c r="P175" s="162"/>
      <c r="Q175" s="162"/>
    </row>
    <row r="176" spans="1:17" s="25" customFormat="1" ht="79.150000000000006" customHeight="1" x14ac:dyDescent="0.25">
      <c r="A176" s="149" t="s">
        <v>22</v>
      </c>
      <c r="B176" s="148"/>
      <c r="C176" s="148">
        <v>96110</v>
      </c>
      <c r="D176" s="143" t="s">
        <v>181</v>
      </c>
      <c r="E176" s="144" t="s">
        <v>182</v>
      </c>
      <c r="F176" s="143" t="s">
        <v>33</v>
      </c>
      <c r="G176" s="146"/>
      <c r="H176" s="146"/>
      <c r="I176" s="146">
        <v>0.67</v>
      </c>
      <c r="J176" s="146">
        <f>SUM(J177:J186)</f>
        <v>43.416260800000003</v>
      </c>
      <c r="K176" s="146">
        <f>SUM(K177:K186)</f>
        <v>13.65334434</v>
      </c>
      <c r="L176" s="146">
        <f>J176+K176</f>
        <v>57.069605140000007</v>
      </c>
      <c r="M176" s="146">
        <f>J176*I176</f>
        <v>29.088894736000004</v>
      </c>
      <c r="N176" s="146">
        <f>K176*I176</f>
        <v>9.1477407078000006</v>
      </c>
      <c r="O176" s="146">
        <f>M176+N176</f>
        <v>38.236635443800004</v>
      </c>
      <c r="P176" s="146">
        <f>O176*$P$1</f>
        <v>9.8115206548790805</v>
      </c>
      <c r="Q176" s="146">
        <f>P176+O176</f>
        <v>48.048156098679087</v>
      </c>
    </row>
    <row r="177" spans="1:17" s="25" customFormat="1" x14ac:dyDescent="0.25">
      <c r="A177" s="213" t="s">
        <v>22</v>
      </c>
      <c r="B177" s="197" t="s">
        <v>27</v>
      </c>
      <c r="C177" s="214">
        <v>88278</v>
      </c>
      <c r="D177" s="214"/>
      <c r="E177" s="207" t="s">
        <v>172</v>
      </c>
      <c r="F177" s="214" t="s">
        <v>29</v>
      </c>
      <c r="G177" s="216">
        <v>0.46</v>
      </c>
      <c r="H177" s="199">
        <v>22.41</v>
      </c>
      <c r="I177" s="199" t="s">
        <v>1193</v>
      </c>
      <c r="J177" s="199">
        <f>0.233*G177*H177</f>
        <v>2.4019038000000004</v>
      </c>
      <c r="K177" s="199">
        <f>0.7669*H177*G177</f>
        <v>7.9056653400000005</v>
      </c>
      <c r="L177" s="220"/>
      <c r="M177" s="220"/>
      <c r="N177" s="220"/>
      <c r="O177" s="220"/>
      <c r="P177" s="220"/>
      <c r="Q177" s="220"/>
    </row>
    <row r="178" spans="1:17" s="25" customFormat="1" x14ac:dyDescent="0.25">
      <c r="A178" s="210" t="s">
        <v>22</v>
      </c>
      <c r="B178" s="201" t="s">
        <v>27</v>
      </c>
      <c r="C178" s="211">
        <v>88316</v>
      </c>
      <c r="D178" s="211"/>
      <c r="E178" s="204" t="s">
        <v>30</v>
      </c>
      <c r="F178" s="211" t="s">
        <v>29</v>
      </c>
      <c r="G178" s="212">
        <v>0.45</v>
      </c>
      <c r="H178" s="203">
        <v>18.899999999999999</v>
      </c>
      <c r="I178" s="203" t="s">
        <v>1193</v>
      </c>
      <c r="J178" s="203">
        <f>0.3242*H178*G178</f>
        <v>2.7573209999999997</v>
      </c>
      <c r="K178" s="203">
        <f>0.6758*H178*G178</f>
        <v>5.7476789999999989</v>
      </c>
      <c r="L178" s="220"/>
      <c r="M178" s="220"/>
      <c r="N178" s="220"/>
      <c r="O178" s="220"/>
      <c r="P178" s="220"/>
      <c r="Q178" s="220"/>
    </row>
    <row r="179" spans="1:17" s="25" customFormat="1" ht="30" x14ac:dyDescent="0.25">
      <c r="A179" s="213" t="s">
        <v>22</v>
      </c>
      <c r="B179" s="197" t="s">
        <v>62</v>
      </c>
      <c r="C179" s="214">
        <v>39413</v>
      </c>
      <c r="D179" s="214"/>
      <c r="E179" s="207" t="s">
        <v>91</v>
      </c>
      <c r="F179" s="214" t="s">
        <v>33</v>
      </c>
      <c r="G179" s="216">
        <v>1.0665</v>
      </c>
      <c r="H179" s="216">
        <v>13.36</v>
      </c>
      <c r="I179" s="220" t="s">
        <v>1193</v>
      </c>
      <c r="J179" s="241">
        <f t="shared" ref="J179:J186" si="7">G179*H179</f>
        <v>14.248439999999999</v>
      </c>
      <c r="K179" s="219"/>
      <c r="L179" s="220"/>
      <c r="M179" s="220"/>
      <c r="N179" s="220"/>
      <c r="O179" s="220"/>
      <c r="P179" s="220"/>
      <c r="Q179" s="220"/>
    </row>
    <row r="180" spans="1:17" s="25" customFormat="1" ht="30" x14ac:dyDescent="0.25">
      <c r="A180" s="210" t="s">
        <v>22</v>
      </c>
      <c r="B180" s="201" t="s">
        <v>62</v>
      </c>
      <c r="C180" s="211">
        <v>39427</v>
      </c>
      <c r="D180" s="211"/>
      <c r="E180" s="204" t="s">
        <v>175</v>
      </c>
      <c r="F180" s="211" t="s">
        <v>39</v>
      </c>
      <c r="G180" s="212">
        <v>2.4</v>
      </c>
      <c r="H180" s="216">
        <v>5.55</v>
      </c>
      <c r="I180" s="220" t="s">
        <v>1193</v>
      </c>
      <c r="J180" s="225">
        <f t="shared" si="7"/>
        <v>13.319999999999999</v>
      </c>
      <c r="K180" s="218"/>
      <c r="L180" s="220"/>
      <c r="M180" s="220"/>
      <c r="N180" s="220"/>
      <c r="O180" s="220"/>
      <c r="P180" s="220"/>
      <c r="Q180" s="220"/>
    </row>
    <row r="181" spans="1:17" s="25" customFormat="1" ht="30" x14ac:dyDescent="0.25">
      <c r="A181" s="213" t="s">
        <v>22</v>
      </c>
      <c r="B181" s="197" t="s">
        <v>62</v>
      </c>
      <c r="C181" s="214">
        <v>39430</v>
      </c>
      <c r="D181" s="214"/>
      <c r="E181" s="207" t="s">
        <v>176</v>
      </c>
      <c r="F181" s="214" t="s">
        <v>1215</v>
      </c>
      <c r="G181" s="216">
        <v>2.09</v>
      </c>
      <c r="H181" s="216">
        <v>1.78</v>
      </c>
      <c r="I181" s="220" t="s">
        <v>1193</v>
      </c>
      <c r="J181" s="241">
        <f t="shared" si="7"/>
        <v>3.7201999999999997</v>
      </c>
      <c r="K181" s="219"/>
      <c r="L181" s="220"/>
      <c r="M181" s="220"/>
      <c r="N181" s="220"/>
      <c r="O181" s="220"/>
      <c r="P181" s="220"/>
      <c r="Q181" s="220"/>
    </row>
    <row r="182" spans="1:17" s="25" customFormat="1" ht="30" x14ac:dyDescent="0.25">
      <c r="A182" s="210" t="s">
        <v>22</v>
      </c>
      <c r="B182" s="201" t="s">
        <v>62</v>
      </c>
      <c r="C182" s="211">
        <v>39432</v>
      </c>
      <c r="D182" s="211"/>
      <c r="E182" s="204" t="s">
        <v>95</v>
      </c>
      <c r="F182" s="211" t="s">
        <v>39</v>
      </c>
      <c r="G182" s="212">
        <v>1.44</v>
      </c>
      <c r="H182" s="212">
        <v>1.98</v>
      </c>
      <c r="I182" s="220" t="s">
        <v>1193</v>
      </c>
      <c r="J182" s="225">
        <f t="shared" si="7"/>
        <v>2.8512</v>
      </c>
      <c r="K182" s="218"/>
      <c r="L182" s="220"/>
      <c r="M182" s="220"/>
      <c r="N182" s="220"/>
      <c r="O182" s="220"/>
      <c r="P182" s="220"/>
      <c r="Q182" s="220"/>
    </row>
    <row r="183" spans="1:17" s="25" customFormat="1" ht="30" x14ac:dyDescent="0.25">
      <c r="A183" s="213" t="s">
        <v>22</v>
      </c>
      <c r="B183" s="197" t="s">
        <v>62</v>
      </c>
      <c r="C183" s="214">
        <v>39434</v>
      </c>
      <c r="D183" s="214"/>
      <c r="E183" s="207" t="s">
        <v>96</v>
      </c>
      <c r="F183" s="214" t="s">
        <v>64</v>
      </c>
      <c r="G183" s="216">
        <v>0.52</v>
      </c>
      <c r="H183" s="216">
        <v>2.63</v>
      </c>
      <c r="I183" s="220" t="s">
        <v>1193</v>
      </c>
      <c r="J183" s="241">
        <f t="shared" si="7"/>
        <v>1.3675999999999999</v>
      </c>
      <c r="K183" s="219"/>
      <c r="L183" s="220"/>
      <c r="M183" s="220"/>
      <c r="N183" s="220"/>
      <c r="O183" s="220"/>
      <c r="P183" s="220"/>
      <c r="Q183" s="220"/>
    </row>
    <row r="184" spans="1:17" s="25" customFormat="1" ht="30" x14ac:dyDescent="0.25">
      <c r="A184" s="210" t="s">
        <v>22</v>
      </c>
      <c r="B184" s="201" t="s">
        <v>62</v>
      </c>
      <c r="C184" s="211">
        <v>39435</v>
      </c>
      <c r="D184" s="211"/>
      <c r="E184" s="204" t="s">
        <v>177</v>
      </c>
      <c r="F184" s="211" t="s">
        <v>1215</v>
      </c>
      <c r="G184" s="212">
        <v>7.97</v>
      </c>
      <c r="H184" s="212">
        <v>0.08</v>
      </c>
      <c r="I184" s="220" t="s">
        <v>1193</v>
      </c>
      <c r="J184" s="225">
        <f t="shared" si="7"/>
        <v>0.63759999999999994</v>
      </c>
      <c r="K184" s="218"/>
      <c r="L184" s="220"/>
      <c r="M184" s="220"/>
      <c r="N184" s="220"/>
      <c r="O184" s="220"/>
      <c r="P184" s="220"/>
      <c r="Q184" s="220"/>
    </row>
    <row r="185" spans="1:17" s="25" customFormat="1" x14ac:dyDescent="0.25">
      <c r="A185" s="213" t="s">
        <v>22</v>
      </c>
      <c r="B185" s="197" t="s">
        <v>62</v>
      </c>
      <c r="C185" s="214">
        <v>40547</v>
      </c>
      <c r="D185" s="214"/>
      <c r="E185" s="207" t="s">
        <v>179</v>
      </c>
      <c r="F185" s="214" t="s">
        <v>90</v>
      </c>
      <c r="G185" s="216">
        <v>2.2100000000000002E-2</v>
      </c>
      <c r="H185" s="216">
        <v>20.83</v>
      </c>
      <c r="I185" s="220" t="s">
        <v>1193</v>
      </c>
      <c r="J185" s="241">
        <f t="shared" si="7"/>
        <v>0.460343</v>
      </c>
      <c r="K185" s="219"/>
      <c r="L185" s="220"/>
      <c r="M185" s="220"/>
      <c r="N185" s="220"/>
      <c r="O185" s="220"/>
      <c r="P185" s="220"/>
      <c r="Q185" s="220"/>
    </row>
    <row r="186" spans="1:17" s="25" customFormat="1" ht="30" x14ac:dyDescent="0.25">
      <c r="A186" s="210" t="s">
        <v>22</v>
      </c>
      <c r="B186" s="201" t="s">
        <v>62</v>
      </c>
      <c r="C186" s="211">
        <v>43131</v>
      </c>
      <c r="D186" s="211"/>
      <c r="E186" s="204" t="s">
        <v>180</v>
      </c>
      <c r="F186" s="211" t="s">
        <v>64</v>
      </c>
      <c r="G186" s="212">
        <v>7.1099999999999997E-2</v>
      </c>
      <c r="H186" s="212">
        <v>23.23</v>
      </c>
      <c r="I186" s="220" t="s">
        <v>1193</v>
      </c>
      <c r="J186" s="225">
        <f t="shared" si="7"/>
        <v>1.651653</v>
      </c>
      <c r="K186" s="218"/>
      <c r="L186" s="220"/>
      <c r="M186" s="220"/>
      <c r="N186" s="220"/>
      <c r="O186" s="220"/>
      <c r="P186" s="220"/>
      <c r="Q186" s="220"/>
    </row>
    <row r="187" spans="1:17" s="25" customFormat="1" x14ac:dyDescent="0.25">
      <c r="A187" s="159"/>
      <c r="B187" s="160"/>
      <c r="C187" s="160"/>
      <c r="D187" s="160"/>
      <c r="E187" s="161"/>
      <c r="F187" s="160"/>
      <c r="G187" s="162"/>
      <c r="H187" s="162"/>
      <c r="I187" s="162" t="s">
        <v>1193</v>
      </c>
      <c r="J187" s="162"/>
      <c r="K187" s="162"/>
      <c r="L187" s="162"/>
      <c r="M187" s="162"/>
      <c r="N187" s="162"/>
      <c r="O187" s="162"/>
      <c r="P187" s="162"/>
      <c r="Q187" s="162"/>
    </row>
    <row r="188" spans="1:17" s="25" customFormat="1" ht="45" x14ac:dyDescent="0.25">
      <c r="A188" s="154" t="s">
        <v>183</v>
      </c>
      <c r="B188" s="155"/>
      <c r="C188" s="155"/>
      <c r="D188" s="146" t="s">
        <v>184</v>
      </c>
      <c r="E188" s="156" t="s">
        <v>1163</v>
      </c>
      <c r="F188" s="143" t="s">
        <v>33</v>
      </c>
      <c r="G188" s="146"/>
      <c r="H188" s="146"/>
      <c r="I188" s="146">
        <v>0.67</v>
      </c>
      <c r="J188" s="146">
        <f>SUM(J189:J191)</f>
        <v>48.8050365</v>
      </c>
      <c r="K188" s="146">
        <f>SUM(K189:K191)</f>
        <v>15.1629015</v>
      </c>
      <c r="L188" s="146">
        <f>J188+K188</f>
        <v>63.967938000000004</v>
      </c>
      <c r="M188" s="146">
        <f>J188*I188</f>
        <v>32.699374455000005</v>
      </c>
      <c r="N188" s="146">
        <f>K188*I188</f>
        <v>10.159144005</v>
      </c>
      <c r="O188" s="146">
        <f>M188+N188</f>
        <v>42.858518460000006</v>
      </c>
      <c r="P188" s="146">
        <f>O188*$P$1</f>
        <v>10.997495836836002</v>
      </c>
      <c r="Q188" s="146">
        <f>P188+O188</f>
        <v>53.856014296836008</v>
      </c>
    </row>
    <row r="189" spans="1:17" s="25" customFormat="1" x14ac:dyDescent="0.25">
      <c r="A189" s="213" t="s">
        <v>22</v>
      </c>
      <c r="B189" s="197" t="s">
        <v>27</v>
      </c>
      <c r="C189" s="214">
        <v>88239</v>
      </c>
      <c r="D189" s="221"/>
      <c r="E189" s="207" t="s">
        <v>168</v>
      </c>
      <c r="F189" s="221" t="s">
        <v>29</v>
      </c>
      <c r="G189" s="216">
        <v>0.5</v>
      </c>
      <c r="H189" s="199">
        <v>18.829999999999998</v>
      </c>
      <c r="I189" s="199" t="s">
        <v>1193</v>
      </c>
      <c r="J189" s="199">
        <f>0.3021*H189*G189</f>
        <v>2.8442714999999996</v>
      </c>
      <c r="K189" s="199">
        <f>0.6978*H189*G189</f>
        <v>6.5697869999999989</v>
      </c>
      <c r="L189" s="219"/>
      <c r="M189" s="199"/>
      <c r="N189" s="199"/>
      <c r="O189" s="199"/>
      <c r="P189" s="199"/>
      <c r="Q189" s="199"/>
    </row>
    <row r="190" spans="1:17" s="25" customFormat="1" x14ac:dyDescent="0.25">
      <c r="A190" s="210" t="s">
        <v>22</v>
      </c>
      <c r="B190" s="201" t="s">
        <v>27</v>
      </c>
      <c r="C190" s="211">
        <v>88278</v>
      </c>
      <c r="D190" s="222"/>
      <c r="E190" s="204" t="s">
        <v>106</v>
      </c>
      <c r="F190" s="222" t="s">
        <v>29</v>
      </c>
      <c r="G190" s="212">
        <v>0.5</v>
      </c>
      <c r="H190" s="203">
        <v>22.41</v>
      </c>
      <c r="I190" s="203" t="s">
        <v>1193</v>
      </c>
      <c r="J190" s="203">
        <f>0.233*G190*H190</f>
        <v>2.6107650000000002</v>
      </c>
      <c r="K190" s="203">
        <f>0.7669*H190*G190</f>
        <v>8.5931145000000004</v>
      </c>
      <c r="L190" s="218"/>
      <c r="M190" s="203"/>
      <c r="N190" s="203"/>
      <c r="O190" s="203"/>
      <c r="P190" s="203"/>
      <c r="Q190" s="203"/>
    </row>
    <row r="191" spans="1:17" s="25" customFormat="1" ht="30" x14ac:dyDescent="0.25">
      <c r="A191" s="213" t="s">
        <v>22</v>
      </c>
      <c r="B191" s="214" t="s">
        <v>62</v>
      </c>
      <c r="C191" s="206">
        <v>39516</v>
      </c>
      <c r="D191" s="221"/>
      <c r="E191" s="207" t="s">
        <v>169</v>
      </c>
      <c r="F191" s="221" t="s">
        <v>33</v>
      </c>
      <c r="G191" s="216">
        <v>1</v>
      </c>
      <c r="H191" s="216">
        <v>43.35</v>
      </c>
      <c r="I191" s="219" t="s">
        <v>1193</v>
      </c>
      <c r="J191" s="241">
        <f>G191*H191</f>
        <v>43.35</v>
      </c>
      <c r="K191" s="219"/>
      <c r="L191" s="219"/>
      <c r="M191" s="199"/>
      <c r="N191" s="199"/>
      <c r="O191" s="199"/>
      <c r="P191" s="199"/>
      <c r="Q191" s="199"/>
    </row>
    <row r="192" spans="1:17" s="25" customFormat="1" x14ac:dyDescent="0.25">
      <c r="A192" s="163"/>
      <c r="B192" s="101"/>
      <c r="C192" s="101"/>
      <c r="D192" s="101"/>
      <c r="E192" s="102"/>
      <c r="F192" s="101"/>
      <c r="G192" s="96"/>
      <c r="H192" s="96"/>
      <c r="I192" s="96" t="s">
        <v>1193</v>
      </c>
      <c r="J192" s="96"/>
      <c r="K192" s="96"/>
      <c r="L192" s="96"/>
      <c r="M192" s="96"/>
      <c r="N192" s="96"/>
      <c r="O192" s="96"/>
      <c r="P192" s="96"/>
      <c r="Q192" s="96"/>
    </row>
    <row r="193" spans="1:17" s="25" customFormat="1" ht="60.6" customHeight="1" x14ac:dyDescent="0.25">
      <c r="A193" s="154" t="s">
        <v>183</v>
      </c>
      <c r="B193" s="155"/>
      <c r="C193" s="146"/>
      <c r="D193" s="146" t="s">
        <v>185</v>
      </c>
      <c r="E193" s="156" t="s">
        <v>186</v>
      </c>
      <c r="F193" s="143" t="s">
        <v>33</v>
      </c>
      <c r="G193" s="146"/>
      <c r="H193" s="146"/>
      <c r="I193" s="146">
        <v>0.67</v>
      </c>
      <c r="J193" s="146">
        <f>SUM(J194:J196)</f>
        <v>41.975036500000002</v>
      </c>
      <c r="K193" s="146">
        <f>SUM(K194:K196)</f>
        <v>15.1629015</v>
      </c>
      <c r="L193" s="146">
        <f>J193+K193</f>
        <v>57.137938000000005</v>
      </c>
      <c r="M193" s="146">
        <f>J193*I193</f>
        <v>28.123274455000004</v>
      </c>
      <c r="N193" s="146">
        <f>K193*I193</f>
        <v>10.159144005</v>
      </c>
      <c r="O193" s="146">
        <f>M193+N193</f>
        <v>38.282418460000002</v>
      </c>
      <c r="P193" s="146">
        <f>O193*$P$1</f>
        <v>9.823268576836</v>
      </c>
      <c r="Q193" s="146">
        <f>P193+O193</f>
        <v>48.105687036836002</v>
      </c>
    </row>
    <row r="194" spans="1:17" s="25" customFormat="1" x14ac:dyDescent="0.25">
      <c r="A194" s="210" t="s">
        <v>22</v>
      </c>
      <c r="B194" s="201" t="s">
        <v>27</v>
      </c>
      <c r="C194" s="211">
        <v>88278</v>
      </c>
      <c r="D194" s="211"/>
      <c r="E194" s="223" t="s">
        <v>172</v>
      </c>
      <c r="F194" s="211" t="s">
        <v>29</v>
      </c>
      <c r="G194" s="212">
        <v>0.5</v>
      </c>
      <c r="H194" s="203">
        <v>22.41</v>
      </c>
      <c r="I194" s="203" t="s">
        <v>1193</v>
      </c>
      <c r="J194" s="203">
        <f>0.233*G194*H194</f>
        <v>2.6107650000000002</v>
      </c>
      <c r="K194" s="203">
        <f>0.7669*H194*G194</f>
        <v>8.5931145000000004</v>
      </c>
      <c r="L194" s="225"/>
      <c r="M194" s="203"/>
      <c r="N194" s="203"/>
      <c r="O194" s="203"/>
      <c r="P194" s="203"/>
      <c r="Q194" s="203"/>
    </row>
    <row r="195" spans="1:17" s="25" customFormat="1" x14ac:dyDescent="0.25">
      <c r="A195" s="213" t="s">
        <v>22</v>
      </c>
      <c r="B195" s="197" t="s">
        <v>27</v>
      </c>
      <c r="C195" s="214">
        <v>88239</v>
      </c>
      <c r="D195" s="221"/>
      <c r="E195" s="207" t="s">
        <v>168</v>
      </c>
      <c r="F195" s="221" t="s">
        <v>29</v>
      </c>
      <c r="G195" s="216">
        <v>0.5</v>
      </c>
      <c r="H195" s="199">
        <v>18.829999999999998</v>
      </c>
      <c r="I195" s="199" t="s">
        <v>1193</v>
      </c>
      <c r="J195" s="199">
        <f>0.3021*H195*G195</f>
        <v>2.8442714999999996</v>
      </c>
      <c r="K195" s="199">
        <f>0.6978*H195*G195</f>
        <v>6.5697869999999989</v>
      </c>
      <c r="L195" s="241"/>
      <c r="M195" s="199"/>
      <c r="N195" s="199"/>
      <c r="O195" s="199"/>
      <c r="P195" s="199"/>
      <c r="Q195" s="199"/>
    </row>
    <row r="196" spans="1:17" s="25" customFormat="1" ht="30" x14ac:dyDescent="0.25">
      <c r="A196" s="210" t="s">
        <v>22</v>
      </c>
      <c r="B196" s="211" t="s">
        <v>62</v>
      </c>
      <c r="C196" s="211">
        <v>39566</v>
      </c>
      <c r="D196" s="211"/>
      <c r="E196" s="224" t="s">
        <v>174</v>
      </c>
      <c r="F196" s="211" t="s">
        <v>134</v>
      </c>
      <c r="G196" s="212">
        <v>1</v>
      </c>
      <c r="H196" s="212">
        <v>36.520000000000003</v>
      </c>
      <c r="I196" s="225" t="s">
        <v>1193</v>
      </c>
      <c r="J196" s="225">
        <f>H196*G196</f>
        <v>36.520000000000003</v>
      </c>
      <c r="K196" s="225"/>
      <c r="L196" s="225"/>
      <c r="M196" s="203"/>
      <c r="N196" s="203"/>
      <c r="O196" s="203"/>
      <c r="P196" s="203"/>
      <c r="Q196" s="203"/>
    </row>
    <row r="197" spans="1:17" s="25" customFormat="1" x14ac:dyDescent="0.25">
      <c r="A197" s="159"/>
      <c r="B197" s="160"/>
      <c r="C197" s="160"/>
      <c r="D197" s="160"/>
      <c r="E197" s="161"/>
      <c r="F197" s="160"/>
      <c r="G197" s="162"/>
      <c r="H197" s="162"/>
      <c r="I197" s="162" t="s">
        <v>1193</v>
      </c>
      <c r="J197" s="162"/>
      <c r="K197" s="162"/>
      <c r="L197" s="162"/>
      <c r="M197" s="162"/>
      <c r="N197" s="162"/>
      <c r="O197" s="162"/>
      <c r="P197" s="162"/>
      <c r="Q197" s="162"/>
    </row>
    <row r="198" spans="1:17" s="25" customFormat="1" ht="15.75" x14ac:dyDescent="0.25">
      <c r="A198" s="136"/>
      <c r="B198" s="97"/>
      <c r="C198" s="97"/>
      <c r="D198" s="97">
        <v>5</v>
      </c>
      <c r="E198" s="98" t="s">
        <v>187</v>
      </c>
      <c r="F198" s="97"/>
      <c r="G198" s="97"/>
      <c r="H198" s="330"/>
      <c r="I198" s="97" t="s">
        <v>1193</v>
      </c>
      <c r="J198" s="330"/>
      <c r="K198" s="330"/>
      <c r="L198" s="330"/>
      <c r="M198" s="330"/>
      <c r="N198" s="330"/>
      <c r="O198" s="330"/>
      <c r="P198" s="330"/>
      <c r="Q198" s="330">
        <f>SUM(Q200:Q253)</f>
        <v>522.40595265260708</v>
      </c>
    </row>
    <row r="199" spans="1:17" s="25" customFormat="1" x14ac:dyDescent="0.25">
      <c r="A199" s="159"/>
      <c r="B199" s="160"/>
      <c r="C199" s="160"/>
      <c r="D199" s="160"/>
      <c r="E199" s="161"/>
      <c r="F199" s="160"/>
      <c r="G199" s="162"/>
      <c r="H199" s="162"/>
      <c r="I199" s="162" t="s">
        <v>1193</v>
      </c>
      <c r="J199" s="162"/>
      <c r="K199" s="162"/>
      <c r="L199" s="162"/>
      <c r="M199" s="162"/>
      <c r="N199" s="162"/>
      <c r="O199" s="162"/>
      <c r="P199" s="162"/>
      <c r="Q199" s="162"/>
    </row>
    <row r="200" spans="1:17" s="25" customFormat="1" ht="70.150000000000006" customHeight="1" x14ac:dyDescent="0.25">
      <c r="A200" s="149" t="s">
        <v>22</v>
      </c>
      <c r="B200" s="148"/>
      <c r="C200" s="148">
        <v>98671</v>
      </c>
      <c r="D200" s="143" t="s">
        <v>188</v>
      </c>
      <c r="E200" s="144" t="s">
        <v>189</v>
      </c>
      <c r="F200" s="143" t="s">
        <v>33</v>
      </c>
      <c r="G200" s="146"/>
      <c r="H200" s="146"/>
      <c r="I200" s="146">
        <v>0.67</v>
      </c>
      <c r="J200" s="146">
        <f>SUM(J201:J205)</f>
        <v>288.52209724999994</v>
      </c>
      <c r="K200" s="146">
        <f>SUM(K201:K205)</f>
        <v>33.787622393999996</v>
      </c>
      <c r="L200" s="146">
        <f>J200+K200</f>
        <v>322.30971964399993</v>
      </c>
      <c r="M200" s="146">
        <f>J200*I200</f>
        <v>193.30980515749997</v>
      </c>
      <c r="N200" s="146">
        <f>K200*I200</f>
        <v>22.637707003979997</v>
      </c>
      <c r="O200" s="146">
        <f>M200+N200</f>
        <v>215.94751216147995</v>
      </c>
      <c r="P200" s="146">
        <f>O200*$P$1</f>
        <v>55.412131620635755</v>
      </c>
      <c r="Q200" s="146">
        <f>P200+O200</f>
        <v>271.35964378211571</v>
      </c>
    </row>
    <row r="201" spans="1:17" s="25" customFormat="1" x14ac:dyDescent="0.25">
      <c r="A201" s="196" t="s">
        <v>22</v>
      </c>
      <c r="B201" s="197" t="s">
        <v>27</v>
      </c>
      <c r="C201" s="197">
        <v>88274</v>
      </c>
      <c r="D201" s="197"/>
      <c r="E201" s="198" t="s">
        <v>190</v>
      </c>
      <c r="F201" s="197" t="s">
        <v>29</v>
      </c>
      <c r="G201" s="199">
        <v>1.1879999999999999</v>
      </c>
      <c r="H201" s="199">
        <v>28.37</v>
      </c>
      <c r="I201" s="199" t="s">
        <v>1193</v>
      </c>
      <c r="J201" s="199">
        <f>0.2224*H201*G201</f>
        <v>7.495671744</v>
      </c>
      <c r="K201" s="199">
        <f>0.7775*H201*G201</f>
        <v>26.204517899999999</v>
      </c>
      <c r="L201" s="199"/>
      <c r="M201" s="199"/>
      <c r="N201" s="199"/>
      <c r="O201" s="199"/>
      <c r="P201" s="199"/>
      <c r="Q201" s="199"/>
    </row>
    <row r="202" spans="1:17" s="25" customFormat="1" x14ac:dyDescent="0.25">
      <c r="A202" s="200" t="s">
        <v>22</v>
      </c>
      <c r="B202" s="201" t="s">
        <v>27</v>
      </c>
      <c r="C202" s="201">
        <v>88316</v>
      </c>
      <c r="D202" s="201"/>
      <c r="E202" s="202" t="s">
        <v>30</v>
      </c>
      <c r="F202" s="201" t="s">
        <v>29</v>
      </c>
      <c r="G202" s="203">
        <v>0.59370000000000001</v>
      </c>
      <c r="H202" s="203">
        <v>18.899999999999999</v>
      </c>
      <c r="I202" s="203" t="s">
        <v>1193</v>
      </c>
      <c r="J202" s="203">
        <f>0.3242*H202*G202</f>
        <v>3.637825506</v>
      </c>
      <c r="K202" s="203">
        <f>0.6758*H202*G202</f>
        <v>7.5831044939999988</v>
      </c>
      <c r="L202" s="203"/>
      <c r="M202" s="203"/>
      <c r="N202" s="203"/>
      <c r="O202" s="203"/>
      <c r="P202" s="203"/>
      <c r="Q202" s="203"/>
    </row>
    <row r="203" spans="1:17" s="25" customFormat="1" x14ac:dyDescent="0.25">
      <c r="A203" s="196" t="s">
        <v>22</v>
      </c>
      <c r="B203" s="197" t="s">
        <v>62</v>
      </c>
      <c r="C203" s="197">
        <v>37595</v>
      </c>
      <c r="D203" s="197"/>
      <c r="E203" s="198" t="s">
        <v>191</v>
      </c>
      <c r="F203" s="197" t="s">
        <v>64</v>
      </c>
      <c r="G203" s="199">
        <v>8.6199999999999992</v>
      </c>
      <c r="H203" s="199">
        <v>1.66</v>
      </c>
      <c r="I203" s="199" t="s">
        <v>1193</v>
      </c>
      <c r="J203" s="199">
        <f t="shared" ref="J203:J205" si="8">H203*G203</f>
        <v>14.309199999999999</v>
      </c>
      <c r="K203" s="199"/>
      <c r="L203" s="199"/>
      <c r="M203" s="199"/>
      <c r="N203" s="199"/>
      <c r="O203" s="199"/>
      <c r="P203" s="199"/>
      <c r="Q203" s="199"/>
    </row>
    <row r="204" spans="1:17" s="25" customFormat="1" x14ac:dyDescent="0.25">
      <c r="A204" s="200" t="s">
        <v>22</v>
      </c>
      <c r="B204" s="201" t="s">
        <v>62</v>
      </c>
      <c r="C204" s="201">
        <v>34357</v>
      </c>
      <c r="D204" s="201"/>
      <c r="E204" s="202" t="s">
        <v>147</v>
      </c>
      <c r="F204" s="201" t="s">
        <v>64</v>
      </c>
      <c r="G204" s="203">
        <v>0.14000000000000001</v>
      </c>
      <c r="H204" s="203">
        <v>3.17</v>
      </c>
      <c r="I204" s="203" t="s">
        <v>1193</v>
      </c>
      <c r="J204" s="203">
        <f t="shared" si="8"/>
        <v>0.44380000000000003</v>
      </c>
      <c r="K204" s="203"/>
      <c r="L204" s="203"/>
      <c r="M204" s="203"/>
      <c r="N204" s="203"/>
      <c r="O204" s="203"/>
      <c r="P204" s="203"/>
      <c r="Q204" s="203"/>
    </row>
    <row r="205" spans="1:17" s="25" customFormat="1" ht="30" x14ac:dyDescent="0.25">
      <c r="A205" s="196" t="s">
        <v>22</v>
      </c>
      <c r="B205" s="197" t="s">
        <v>62</v>
      </c>
      <c r="C205" s="197">
        <v>10841</v>
      </c>
      <c r="D205" s="197"/>
      <c r="E205" s="207" t="s">
        <v>192</v>
      </c>
      <c r="F205" s="197" t="s">
        <v>33</v>
      </c>
      <c r="G205" s="199">
        <v>1.1599999999999999</v>
      </c>
      <c r="H205" s="199">
        <v>226.41</v>
      </c>
      <c r="I205" s="199" t="s">
        <v>1193</v>
      </c>
      <c r="J205" s="199">
        <f t="shared" si="8"/>
        <v>262.63559999999995</v>
      </c>
      <c r="K205" s="199"/>
      <c r="L205" s="199"/>
      <c r="M205" s="199"/>
      <c r="N205" s="199"/>
      <c r="O205" s="199"/>
      <c r="P205" s="199"/>
      <c r="Q205" s="199"/>
    </row>
    <row r="206" spans="1:17" s="25" customFormat="1" x14ac:dyDescent="0.25">
      <c r="A206" s="163"/>
      <c r="B206" s="101"/>
      <c r="C206" s="101"/>
      <c r="D206" s="101"/>
      <c r="E206" s="102"/>
      <c r="F206" s="101"/>
      <c r="G206" s="96"/>
      <c r="H206" s="96"/>
      <c r="I206" s="96" t="s">
        <v>1193</v>
      </c>
      <c r="J206" s="96"/>
      <c r="K206" s="96"/>
      <c r="L206" s="96"/>
      <c r="M206" s="96"/>
      <c r="N206" s="96"/>
      <c r="O206" s="96"/>
      <c r="P206" s="96"/>
      <c r="Q206" s="96"/>
    </row>
    <row r="207" spans="1:17" s="25" customFormat="1" ht="30" x14ac:dyDescent="0.25">
      <c r="A207" s="149" t="s">
        <v>35</v>
      </c>
      <c r="B207" s="148"/>
      <c r="C207" s="148" t="s">
        <v>193</v>
      </c>
      <c r="D207" s="143" t="s">
        <v>194</v>
      </c>
      <c r="E207" s="144" t="s">
        <v>195</v>
      </c>
      <c r="F207" s="143" t="s">
        <v>33</v>
      </c>
      <c r="G207" s="146"/>
      <c r="H207" s="146"/>
      <c r="I207" s="146">
        <v>0.67</v>
      </c>
      <c r="J207" s="146">
        <f>SUM(J208:J209)</f>
        <v>3.2087750000000002</v>
      </c>
      <c r="K207" s="146">
        <f>SUM(K208:K209)</f>
        <v>3.1931549999999995</v>
      </c>
      <c r="L207" s="146">
        <f>J207+K207</f>
        <v>6.4019300000000001</v>
      </c>
      <c r="M207" s="146">
        <f>J207*I207</f>
        <v>2.1498792500000001</v>
      </c>
      <c r="N207" s="146">
        <f>K207*I207</f>
        <v>2.13941385</v>
      </c>
      <c r="O207" s="146">
        <f>M207+N207</f>
        <v>4.2892931000000001</v>
      </c>
      <c r="P207" s="146">
        <f>O207*$P$1</f>
        <v>1.1006326094600001</v>
      </c>
      <c r="Q207" s="146">
        <f>P207+O207</f>
        <v>5.3899257094599999</v>
      </c>
    </row>
    <row r="208" spans="1:17" s="25" customFormat="1" x14ac:dyDescent="0.25">
      <c r="A208" s="200" t="s">
        <v>22</v>
      </c>
      <c r="B208" s="201" t="s">
        <v>27</v>
      </c>
      <c r="C208" s="201">
        <v>88316</v>
      </c>
      <c r="D208" s="201"/>
      <c r="E208" s="202" t="s">
        <v>30</v>
      </c>
      <c r="F208" s="201" t="s">
        <v>29</v>
      </c>
      <c r="G208" s="203">
        <v>0.25</v>
      </c>
      <c r="H208" s="203">
        <v>18.899999999999999</v>
      </c>
      <c r="I208" s="203" t="s">
        <v>1193</v>
      </c>
      <c r="J208" s="203">
        <f>0.3242*H208*G208</f>
        <v>1.5318449999999999</v>
      </c>
      <c r="K208" s="203">
        <f>0.6758*H208*G208</f>
        <v>3.1931549999999995</v>
      </c>
      <c r="L208" s="203"/>
      <c r="M208" s="203"/>
      <c r="N208" s="203"/>
      <c r="O208" s="203"/>
      <c r="P208" s="203"/>
      <c r="Q208" s="203"/>
    </row>
    <row r="209" spans="1:17" s="25" customFormat="1" x14ac:dyDescent="0.25">
      <c r="A209" s="196" t="s">
        <v>22</v>
      </c>
      <c r="B209" s="197" t="s">
        <v>62</v>
      </c>
      <c r="C209" s="197">
        <v>34357</v>
      </c>
      <c r="D209" s="197"/>
      <c r="E209" s="198" t="s">
        <v>147</v>
      </c>
      <c r="F209" s="197" t="s">
        <v>64</v>
      </c>
      <c r="G209" s="199">
        <v>0.52900000000000003</v>
      </c>
      <c r="H209" s="199">
        <v>3.17</v>
      </c>
      <c r="I209" s="199" t="s">
        <v>1193</v>
      </c>
      <c r="J209" s="199">
        <f>H209*G209</f>
        <v>1.67693</v>
      </c>
      <c r="K209" s="199"/>
      <c r="L209" s="199"/>
      <c r="M209" s="199"/>
      <c r="N209" s="199"/>
      <c r="O209" s="199"/>
      <c r="P209" s="199"/>
      <c r="Q209" s="199"/>
    </row>
    <row r="210" spans="1:17" s="25" customFormat="1" x14ac:dyDescent="0.25">
      <c r="A210" s="163"/>
      <c r="B210" s="101"/>
      <c r="C210" s="101"/>
      <c r="D210" s="101"/>
      <c r="E210" s="102"/>
      <c r="F210" s="101"/>
      <c r="G210" s="96"/>
      <c r="H210" s="96"/>
      <c r="I210" s="96" t="s">
        <v>1193</v>
      </c>
      <c r="J210" s="96"/>
      <c r="K210" s="96"/>
      <c r="L210" s="96"/>
      <c r="M210" s="96"/>
      <c r="N210" s="96"/>
      <c r="O210" s="96"/>
      <c r="P210" s="96"/>
      <c r="Q210" s="96"/>
    </row>
    <row r="211" spans="1:17" s="25" customFormat="1" ht="30" x14ac:dyDescent="0.25">
      <c r="A211" s="149" t="s">
        <v>22</v>
      </c>
      <c r="B211" s="148"/>
      <c r="C211" s="148">
        <v>88648</v>
      </c>
      <c r="D211" s="143" t="s">
        <v>196</v>
      </c>
      <c r="E211" s="144" t="s">
        <v>197</v>
      </c>
      <c r="F211" s="143" t="s">
        <v>152</v>
      </c>
      <c r="G211" s="146"/>
      <c r="H211" s="146"/>
      <c r="I211" s="146">
        <v>0.67</v>
      </c>
      <c r="J211" s="146">
        <f>SUM(J212:J216)</f>
        <v>5.8280175100000005</v>
      </c>
      <c r="K211" s="146">
        <f>SUM(K212:K216)</f>
        <v>1.6660424900000002</v>
      </c>
      <c r="L211" s="146">
        <f>J211+K211</f>
        <v>7.4940600000000011</v>
      </c>
      <c r="M211" s="146">
        <f>J211*I211</f>
        <v>3.9047717317000004</v>
      </c>
      <c r="N211" s="146">
        <f>K211*I211</f>
        <v>1.1162484683000002</v>
      </c>
      <c r="O211" s="146">
        <f>M211+N211</f>
        <v>5.0210202000000006</v>
      </c>
      <c r="P211" s="146">
        <f>O211*$P$1</f>
        <v>1.2883937833200001</v>
      </c>
      <c r="Q211" s="146">
        <f>P211+O211</f>
        <v>6.3094139833200007</v>
      </c>
    </row>
    <row r="212" spans="1:17" s="25" customFormat="1" x14ac:dyDescent="0.25">
      <c r="A212" s="200" t="s">
        <v>22</v>
      </c>
      <c r="B212" s="201" t="s">
        <v>27</v>
      </c>
      <c r="C212" s="201">
        <v>88256</v>
      </c>
      <c r="D212" s="201"/>
      <c r="E212" s="202" t="s">
        <v>198</v>
      </c>
      <c r="F212" s="201" t="s">
        <v>29</v>
      </c>
      <c r="G212" s="203">
        <v>7.0000000000000007E-2</v>
      </c>
      <c r="H212" s="203">
        <v>24.43</v>
      </c>
      <c r="I212" s="203" t="s">
        <v>1193</v>
      </c>
      <c r="J212" s="203">
        <f>0.2573*H212*G212</f>
        <v>0.44000873000000001</v>
      </c>
      <c r="K212" s="203">
        <f>0.7427*H212*G212</f>
        <v>1.2700912700000002</v>
      </c>
      <c r="L212" s="203"/>
      <c r="M212" s="203"/>
      <c r="N212" s="203"/>
      <c r="O212" s="203"/>
      <c r="P212" s="203"/>
      <c r="Q212" s="203"/>
    </row>
    <row r="213" spans="1:17" s="25" customFormat="1" x14ac:dyDescent="0.25">
      <c r="A213" s="196" t="s">
        <v>22</v>
      </c>
      <c r="B213" s="197" t="s">
        <v>27</v>
      </c>
      <c r="C213" s="197">
        <v>88316</v>
      </c>
      <c r="D213" s="197"/>
      <c r="E213" s="198" t="s">
        <v>30</v>
      </c>
      <c r="F213" s="197" t="s">
        <v>29</v>
      </c>
      <c r="G213" s="199">
        <v>3.1E-2</v>
      </c>
      <c r="H213" s="203">
        <v>18.899999999999999</v>
      </c>
      <c r="I213" s="199" t="s">
        <v>1193</v>
      </c>
      <c r="J213" s="199">
        <f>0.3242*H213*G213</f>
        <v>0.18994877999999998</v>
      </c>
      <c r="K213" s="199">
        <f>0.6758*H213*G213</f>
        <v>0.39595121999999994</v>
      </c>
      <c r="L213" s="199"/>
      <c r="M213" s="199"/>
      <c r="N213" s="199"/>
      <c r="O213" s="199"/>
      <c r="P213" s="199"/>
      <c r="Q213" s="199"/>
    </row>
    <row r="214" spans="1:17" s="25" customFormat="1" x14ac:dyDescent="0.25">
      <c r="A214" s="200" t="s">
        <v>22</v>
      </c>
      <c r="B214" s="201" t="s">
        <v>62</v>
      </c>
      <c r="C214" s="201">
        <v>1381</v>
      </c>
      <c r="D214" s="201"/>
      <c r="E214" s="202" t="s">
        <v>199</v>
      </c>
      <c r="F214" s="201" t="s">
        <v>64</v>
      </c>
      <c r="G214" s="203">
        <v>0.60299999999999998</v>
      </c>
      <c r="H214" s="203">
        <v>0.54</v>
      </c>
      <c r="I214" s="203" t="s">
        <v>1193</v>
      </c>
      <c r="J214" s="203">
        <f t="shared" ref="J214:J216" si="9">H214*G214</f>
        <v>0.32562000000000002</v>
      </c>
      <c r="K214" s="203"/>
      <c r="L214" s="203"/>
      <c r="M214" s="203"/>
      <c r="N214" s="203"/>
      <c r="O214" s="203"/>
      <c r="P214" s="203"/>
      <c r="Q214" s="203"/>
    </row>
    <row r="215" spans="1:17" s="25" customFormat="1" ht="30" x14ac:dyDescent="0.25">
      <c r="A215" s="196" t="s">
        <v>22</v>
      </c>
      <c r="B215" s="197" t="s">
        <v>62</v>
      </c>
      <c r="C215" s="197">
        <v>1287</v>
      </c>
      <c r="D215" s="197"/>
      <c r="E215" s="207" t="s">
        <v>200</v>
      </c>
      <c r="F215" s="197" t="s">
        <v>33</v>
      </c>
      <c r="G215" s="199">
        <v>0.25</v>
      </c>
      <c r="H215" s="199">
        <v>18.45</v>
      </c>
      <c r="I215" s="199" t="s">
        <v>1193</v>
      </c>
      <c r="J215" s="199">
        <f t="shared" si="9"/>
        <v>4.6124999999999998</v>
      </c>
      <c r="K215" s="199"/>
      <c r="L215" s="199"/>
      <c r="M215" s="199"/>
      <c r="N215" s="199"/>
      <c r="O215" s="199"/>
      <c r="P215" s="199"/>
      <c r="Q215" s="199"/>
    </row>
    <row r="216" spans="1:17" s="25" customFormat="1" x14ac:dyDescent="0.25">
      <c r="A216" s="200" t="s">
        <v>22</v>
      </c>
      <c r="B216" s="201" t="s">
        <v>62</v>
      </c>
      <c r="C216" s="201">
        <v>34357</v>
      </c>
      <c r="D216" s="201"/>
      <c r="E216" s="202" t="s">
        <v>147</v>
      </c>
      <c r="F216" s="201" t="s">
        <v>64</v>
      </c>
      <c r="G216" s="203">
        <v>8.2000000000000003E-2</v>
      </c>
      <c r="H216" s="203">
        <v>3.17</v>
      </c>
      <c r="I216" s="203" t="s">
        <v>1193</v>
      </c>
      <c r="J216" s="203">
        <f t="shared" si="9"/>
        <v>0.25994</v>
      </c>
      <c r="K216" s="203"/>
      <c r="L216" s="203"/>
      <c r="M216" s="203"/>
      <c r="N216" s="203"/>
      <c r="O216" s="203"/>
      <c r="P216" s="203"/>
      <c r="Q216" s="203"/>
    </row>
    <row r="217" spans="1:17" s="25" customFormat="1" x14ac:dyDescent="0.25">
      <c r="A217" s="159"/>
      <c r="B217" s="160"/>
      <c r="C217" s="160"/>
      <c r="D217" s="160"/>
      <c r="E217" s="161"/>
      <c r="F217" s="160"/>
      <c r="G217" s="162"/>
      <c r="H217" s="162"/>
      <c r="I217" s="162" t="s">
        <v>1193</v>
      </c>
      <c r="J217" s="162"/>
      <c r="K217" s="162"/>
      <c r="L217" s="162"/>
      <c r="M217" s="162"/>
      <c r="N217" s="162"/>
      <c r="O217" s="162"/>
      <c r="P217" s="162"/>
      <c r="Q217" s="162"/>
    </row>
    <row r="218" spans="1:17" s="25" customFormat="1" ht="30" x14ac:dyDescent="0.25">
      <c r="A218" s="149" t="s">
        <v>22</v>
      </c>
      <c r="B218" s="148"/>
      <c r="C218" s="148">
        <v>101738</v>
      </c>
      <c r="D218" s="143" t="s">
        <v>201</v>
      </c>
      <c r="E218" s="144" t="s">
        <v>202</v>
      </c>
      <c r="F218" s="143" t="s">
        <v>39</v>
      </c>
      <c r="G218" s="146"/>
      <c r="H218" s="146"/>
      <c r="I218" s="146">
        <v>0.67</v>
      </c>
      <c r="J218" s="146">
        <f>SUM(J219:J222)</f>
        <v>14.744895907</v>
      </c>
      <c r="K218" s="146">
        <f>SUM(K219:K222)</f>
        <v>9.2912691179999989</v>
      </c>
      <c r="L218" s="146">
        <f>J218+K218</f>
        <v>24.036165024999999</v>
      </c>
      <c r="M218" s="146">
        <f>J218*I218</f>
        <v>9.879080257690001</v>
      </c>
      <c r="N218" s="146">
        <f>K218*I218</f>
        <v>6.22515030906</v>
      </c>
      <c r="O218" s="146">
        <f>M218+N218</f>
        <v>16.104230566750001</v>
      </c>
      <c r="P218" s="146">
        <f>O218*$P$1</f>
        <v>4.1323455634280499</v>
      </c>
      <c r="Q218" s="146">
        <f>P218+O218</f>
        <v>20.236576130178051</v>
      </c>
    </row>
    <row r="219" spans="1:17" s="25" customFormat="1" x14ac:dyDescent="0.25">
      <c r="A219" s="196" t="s">
        <v>22</v>
      </c>
      <c r="B219" s="197" t="s">
        <v>27</v>
      </c>
      <c r="C219" s="197">
        <v>88316</v>
      </c>
      <c r="D219" s="197"/>
      <c r="E219" s="198" t="s">
        <v>30</v>
      </c>
      <c r="F219" s="197" t="s">
        <v>29</v>
      </c>
      <c r="G219" s="199">
        <v>0.15140000000000001</v>
      </c>
      <c r="H219" s="203">
        <v>18.899999999999999</v>
      </c>
      <c r="I219" s="199" t="s">
        <v>1193</v>
      </c>
      <c r="J219" s="199">
        <f>0.3242*H219*G219</f>
        <v>0.92768533200000003</v>
      </c>
      <c r="K219" s="199">
        <f>0.6758*H219*G219</f>
        <v>1.9337746679999999</v>
      </c>
      <c r="L219" s="199"/>
      <c r="M219" s="199"/>
      <c r="N219" s="199"/>
      <c r="O219" s="199"/>
      <c r="P219" s="199"/>
      <c r="Q219" s="199"/>
    </row>
    <row r="220" spans="1:17" s="25" customFormat="1" x14ac:dyDescent="0.25">
      <c r="A220" s="200" t="s">
        <v>22</v>
      </c>
      <c r="B220" s="201" t="s">
        <v>27</v>
      </c>
      <c r="C220" s="201">
        <v>88320</v>
      </c>
      <c r="D220" s="201"/>
      <c r="E220" s="202" t="s">
        <v>203</v>
      </c>
      <c r="F220" s="201" t="s">
        <v>29</v>
      </c>
      <c r="G220" s="203">
        <v>0.36349999999999999</v>
      </c>
      <c r="H220" s="203">
        <v>28.5</v>
      </c>
      <c r="I220" s="203" t="s">
        <v>1193</v>
      </c>
      <c r="J220" s="203">
        <f>0.2897*H220*G220</f>
        <v>3.0012195750000004</v>
      </c>
      <c r="K220" s="203">
        <f>0.7102*H220*G220</f>
        <v>7.3574944499999999</v>
      </c>
      <c r="L220" s="203"/>
      <c r="M220" s="203"/>
      <c r="N220" s="203"/>
      <c r="O220" s="203"/>
      <c r="P220" s="203"/>
      <c r="Q220" s="203"/>
    </row>
    <row r="221" spans="1:17" s="25" customFormat="1" ht="30" x14ac:dyDescent="0.25">
      <c r="A221" s="196" t="s">
        <v>22</v>
      </c>
      <c r="B221" s="197" t="s">
        <v>62</v>
      </c>
      <c r="C221" s="197">
        <v>6186</v>
      </c>
      <c r="D221" s="197"/>
      <c r="E221" s="207" t="s">
        <v>204</v>
      </c>
      <c r="F221" s="197" t="s">
        <v>39</v>
      </c>
      <c r="G221" s="199">
        <v>1.0349999999999999</v>
      </c>
      <c r="H221" s="199">
        <v>9.77</v>
      </c>
      <c r="I221" s="199" t="s">
        <v>1193</v>
      </c>
      <c r="J221" s="199">
        <f t="shared" ref="J221:J222" si="10">H221*G221</f>
        <v>10.111949999999998</v>
      </c>
      <c r="K221" s="199"/>
      <c r="L221" s="199"/>
      <c r="M221" s="199"/>
      <c r="N221" s="199"/>
      <c r="O221" s="199"/>
      <c r="P221" s="199"/>
      <c r="Q221" s="199"/>
    </row>
    <row r="222" spans="1:17" s="25" customFormat="1" x14ac:dyDescent="0.25">
      <c r="A222" s="200" t="s">
        <v>22</v>
      </c>
      <c r="B222" s="201" t="s">
        <v>62</v>
      </c>
      <c r="C222" s="201">
        <v>11849</v>
      </c>
      <c r="D222" s="201"/>
      <c r="E222" s="202" t="s">
        <v>205</v>
      </c>
      <c r="F222" s="201" t="s">
        <v>206</v>
      </c>
      <c r="G222" s="203">
        <v>4.0300000000000002E-2</v>
      </c>
      <c r="H222" s="203">
        <v>17.47</v>
      </c>
      <c r="I222" s="203" t="s">
        <v>1193</v>
      </c>
      <c r="J222" s="203">
        <f t="shared" si="10"/>
        <v>0.70404100000000003</v>
      </c>
      <c r="K222" s="203"/>
      <c r="L222" s="203"/>
      <c r="M222" s="203"/>
      <c r="N222" s="203"/>
      <c r="O222" s="203"/>
      <c r="P222" s="203"/>
      <c r="Q222" s="203"/>
    </row>
    <row r="223" spans="1:17" s="25" customFormat="1" x14ac:dyDescent="0.25">
      <c r="A223" s="159"/>
      <c r="B223" s="160"/>
      <c r="C223" s="160"/>
      <c r="D223" s="160"/>
      <c r="E223" s="161"/>
      <c r="F223" s="160"/>
      <c r="G223" s="162"/>
      <c r="H223" s="162"/>
      <c r="I223" s="162" t="s">
        <v>1193</v>
      </c>
      <c r="J223" s="162"/>
      <c r="K223" s="162"/>
      <c r="L223" s="162"/>
      <c r="M223" s="162"/>
      <c r="N223" s="162"/>
      <c r="O223" s="162"/>
      <c r="P223" s="162"/>
      <c r="Q223" s="162"/>
    </row>
    <row r="224" spans="1:17" s="25" customFormat="1" ht="30" x14ac:dyDescent="0.25">
      <c r="A224" s="149" t="s">
        <v>71</v>
      </c>
      <c r="B224" s="148"/>
      <c r="C224" s="148"/>
      <c r="D224" s="143" t="s">
        <v>207</v>
      </c>
      <c r="E224" s="144" t="s">
        <v>208</v>
      </c>
      <c r="F224" s="143" t="s">
        <v>152</v>
      </c>
      <c r="G224" s="146"/>
      <c r="H224" s="146"/>
      <c r="I224" s="146">
        <v>0.67</v>
      </c>
      <c r="J224" s="146">
        <f>SUM(J225:J226)</f>
        <v>8.7396186666666651</v>
      </c>
      <c r="K224" s="146">
        <f>SUM(K225:K226)</f>
        <v>5.1090479999999996</v>
      </c>
      <c r="L224" s="146">
        <f>J224+K224</f>
        <v>13.848666666666665</v>
      </c>
      <c r="M224" s="146">
        <f>J224*I224</f>
        <v>5.855544506666666</v>
      </c>
      <c r="N224" s="146">
        <f>K224*I224</f>
        <v>3.4230621599999997</v>
      </c>
      <c r="O224" s="146">
        <f>M224+N224</f>
        <v>9.2786066666666649</v>
      </c>
      <c r="P224" s="146">
        <f>O224*$P$1</f>
        <v>2.380890470666666</v>
      </c>
      <c r="Q224" s="146">
        <f>P224+O224</f>
        <v>11.65949713733333</v>
      </c>
    </row>
    <row r="225" spans="1:17" s="25" customFormat="1" x14ac:dyDescent="0.25">
      <c r="A225" s="196" t="s">
        <v>22</v>
      </c>
      <c r="B225" s="197" t="s">
        <v>27</v>
      </c>
      <c r="C225" s="197">
        <v>88316</v>
      </c>
      <c r="D225" s="197"/>
      <c r="E225" s="198" t="s">
        <v>30</v>
      </c>
      <c r="F225" s="197" t="s">
        <v>29</v>
      </c>
      <c r="G225" s="199">
        <v>0.4</v>
      </c>
      <c r="H225" s="203">
        <v>18.899999999999999</v>
      </c>
      <c r="I225" s="199" t="s">
        <v>1193</v>
      </c>
      <c r="J225" s="199">
        <f>0.3242*H225*G225</f>
        <v>2.450952</v>
      </c>
      <c r="K225" s="199">
        <f>0.6758*H225*G225</f>
        <v>5.1090479999999996</v>
      </c>
      <c r="L225" s="199"/>
      <c r="M225" s="199"/>
      <c r="N225" s="199"/>
      <c r="O225" s="199"/>
      <c r="P225" s="199"/>
      <c r="Q225" s="199"/>
    </row>
    <row r="226" spans="1:17" s="25" customFormat="1" ht="30" x14ac:dyDescent="0.25">
      <c r="A226" s="252" t="s">
        <v>877</v>
      </c>
      <c r="B226" s="201" t="s">
        <v>62</v>
      </c>
      <c r="C226" s="205"/>
      <c r="D226" s="201"/>
      <c r="E226" s="204" t="s">
        <v>209</v>
      </c>
      <c r="F226" s="201" t="s">
        <v>39</v>
      </c>
      <c r="G226" s="203">
        <v>1</v>
      </c>
      <c r="H226" s="339">
        <f>'MAPA COTAÇÕES CIVIL'!$H$5/5</f>
        <v>6.288666666666666</v>
      </c>
      <c r="I226" s="203" t="s">
        <v>1193</v>
      </c>
      <c r="J226" s="203">
        <f>G226*H226</f>
        <v>6.288666666666666</v>
      </c>
      <c r="K226" s="203"/>
      <c r="L226" s="203"/>
      <c r="M226" s="203"/>
      <c r="N226" s="203"/>
      <c r="O226" s="203"/>
      <c r="P226" s="203"/>
      <c r="Q226" s="203"/>
    </row>
    <row r="227" spans="1:17" s="25" customFormat="1" x14ac:dyDescent="0.25">
      <c r="A227" s="159"/>
      <c r="B227" s="160"/>
      <c r="C227" s="160"/>
      <c r="D227" s="160"/>
      <c r="E227" s="161"/>
      <c r="F227" s="160"/>
      <c r="G227" s="162"/>
      <c r="H227" s="162"/>
      <c r="I227" s="162" t="s">
        <v>1193</v>
      </c>
      <c r="J227" s="162"/>
      <c r="K227" s="162"/>
      <c r="L227" s="162"/>
      <c r="M227" s="162"/>
      <c r="N227" s="162"/>
      <c r="O227" s="162"/>
      <c r="P227" s="162"/>
      <c r="Q227" s="162"/>
    </row>
    <row r="228" spans="1:17" s="25" customFormat="1" ht="30" x14ac:dyDescent="0.25">
      <c r="A228" s="149" t="s">
        <v>22</v>
      </c>
      <c r="B228" s="148"/>
      <c r="C228" s="148">
        <v>87251</v>
      </c>
      <c r="D228" s="143" t="s">
        <v>210</v>
      </c>
      <c r="E228" s="144" t="s">
        <v>211</v>
      </c>
      <c r="F228" s="143" t="s">
        <v>33</v>
      </c>
      <c r="G228" s="146"/>
      <c r="H228" s="146"/>
      <c r="I228" s="146">
        <v>0.67</v>
      </c>
      <c r="J228" s="146">
        <f>SUM(J229:J233)</f>
        <v>28.602027759999995</v>
      </c>
      <c r="K228" s="146">
        <f>SUM(K229:K233)</f>
        <v>6.6206022400000002</v>
      </c>
      <c r="L228" s="146">
        <f>J228+K228</f>
        <v>35.222629999999995</v>
      </c>
      <c r="M228" s="146">
        <f>J228*I228</f>
        <v>19.163358599199999</v>
      </c>
      <c r="N228" s="146">
        <f>K228*I228</f>
        <v>4.4358035008000005</v>
      </c>
      <c r="O228" s="146">
        <f>M228+N228</f>
        <v>23.599162100000001</v>
      </c>
      <c r="P228" s="146">
        <f>O228*$P$1</f>
        <v>6.05554499486</v>
      </c>
      <c r="Q228" s="146">
        <f>P228+O228</f>
        <v>29.654707094860001</v>
      </c>
    </row>
    <row r="229" spans="1:17" s="25" customFormat="1" x14ac:dyDescent="0.25">
      <c r="A229" s="196" t="s">
        <v>22</v>
      </c>
      <c r="B229" s="197" t="s">
        <v>27</v>
      </c>
      <c r="C229" s="197">
        <v>88256</v>
      </c>
      <c r="D229" s="197"/>
      <c r="E229" s="198" t="s">
        <v>212</v>
      </c>
      <c r="F229" s="197" t="s">
        <v>29</v>
      </c>
      <c r="G229" s="199">
        <v>0.26</v>
      </c>
      <c r="H229" s="203">
        <v>24.43</v>
      </c>
      <c r="I229" s="199" t="s">
        <v>1193</v>
      </c>
      <c r="J229" s="199">
        <f>0.2573*H229*G229</f>
        <v>1.63431814</v>
      </c>
      <c r="K229" s="199">
        <f>0.7427*H229*G229</f>
        <v>4.7174818600000004</v>
      </c>
      <c r="L229" s="199"/>
      <c r="M229" s="199"/>
      <c r="N229" s="199"/>
      <c r="O229" s="199"/>
      <c r="P229" s="199"/>
      <c r="Q229" s="199"/>
    </row>
    <row r="230" spans="1:17" s="25" customFormat="1" x14ac:dyDescent="0.25">
      <c r="A230" s="200" t="s">
        <v>22</v>
      </c>
      <c r="B230" s="201" t="s">
        <v>27</v>
      </c>
      <c r="C230" s="201">
        <v>88316</v>
      </c>
      <c r="D230" s="201"/>
      <c r="E230" s="202" t="s">
        <v>30</v>
      </c>
      <c r="F230" s="201" t="s">
        <v>29</v>
      </c>
      <c r="G230" s="203">
        <v>0.14899999999999999</v>
      </c>
      <c r="H230" s="203">
        <v>18.899999999999999</v>
      </c>
      <c r="I230" s="203" t="s">
        <v>1193</v>
      </c>
      <c r="J230" s="203">
        <f>0.3242*H230*G230</f>
        <v>0.91297961999999988</v>
      </c>
      <c r="K230" s="203">
        <f>0.6758*H230*G230</f>
        <v>1.9031203799999996</v>
      </c>
      <c r="L230" s="203"/>
      <c r="M230" s="203"/>
      <c r="N230" s="203"/>
      <c r="O230" s="203"/>
      <c r="P230" s="203"/>
      <c r="Q230" s="203"/>
    </row>
    <row r="231" spans="1:17" s="25" customFormat="1" x14ac:dyDescent="0.25">
      <c r="A231" s="196" t="s">
        <v>22</v>
      </c>
      <c r="B231" s="197" t="s">
        <v>62</v>
      </c>
      <c r="C231" s="197">
        <v>1381</v>
      </c>
      <c r="D231" s="197"/>
      <c r="E231" s="198" t="s">
        <v>199</v>
      </c>
      <c r="F231" s="197" t="s">
        <v>64</v>
      </c>
      <c r="G231" s="199">
        <v>6.14</v>
      </c>
      <c r="H231" s="199">
        <v>0.54</v>
      </c>
      <c r="I231" s="199" t="s">
        <v>1193</v>
      </c>
      <c r="J231" s="199">
        <f t="shared" ref="J231:J233" si="11">H231*G231</f>
        <v>3.3155999999999999</v>
      </c>
      <c r="K231" s="199"/>
      <c r="L231" s="199"/>
      <c r="M231" s="199"/>
      <c r="N231" s="199"/>
      <c r="O231" s="199"/>
      <c r="P231" s="199"/>
      <c r="Q231" s="199"/>
    </row>
    <row r="232" spans="1:17" s="25" customFormat="1" x14ac:dyDescent="0.25">
      <c r="A232" s="200" t="s">
        <v>22</v>
      </c>
      <c r="B232" s="201" t="s">
        <v>62</v>
      </c>
      <c r="C232" s="201">
        <v>34357</v>
      </c>
      <c r="D232" s="201"/>
      <c r="E232" s="202" t="s">
        <v>147</v>
      </c>
      <c r="F232" s="201" t="s">
        <v>64</v>
      </c>
      <c r="G232" s="203">
        <v>0.189</v>
      </c>
      <c r="H232" s="203">
        <v>3.17</v>
      </c>
      <c r="I232" s="203" t="s">
        <v>1193</v>
      </c>
      <c r="J232" s="203">
        <f t="shared" si="11"/>
        <v>0.59912999999999994</v>
      </c>
      <c r="K232" s="203"/>
      <c r="L232" s="203"/>
      <c r="M232" s="203"/>
      <c r="N232" s="203"/>
      <c r="O232" s="203"/>
      <c r="P232" s="203"/>
      <c r="Q232" s="203"/>
    </row>
    <row r="233" spans="1:17" s="25" customFormat="1" x14ac:dyDescent="0.25">
      <c r="A233" s="196" t="s">
        <v>22</v>
      </c>
      <c r="B233" s="197" t="s">
        <v>62</v>
      </c>
      <c r="C233" s="197">
        <v>1287</v>
      </c>
      <c r="D233" s="197"/>
      <c r="E233" s="202" t="s">
        <v>200</v>
      </c>
      <c r="F233" s="197" t="s">
        <v>33</v>
      </c>
      <c r="G233" s="199">
        <v>1.2</v>
      </c>
      <c r="H233" s="199">
        <v>18.45</v>
      </c>
      <c r="I233" s="199" t="s">
        <v>1193</v>
      </c>
      <c r="J233" s="199">
        <f t="shared" si="11"/>
        <v>22.139999999999997</v>
      </c>
      <c r="K233" s="199"/>
      <c r="L233" s="199"/>
      <c r="M233" s="199"/>
      <c r="N233" s="199"/>
      <c r="O233" s="199"/>
      <c r="P233" s="199"/>
      <c r="Q233" s="199"/>
    </row>
    <row r="234" spans="1:17" s="25" customFormat="1" x14ac:dyDescent="0.25">
      <c r="A234" s="163"/>
      <c r="B234" s="101"/>
      <c r="C234" s="101"/>
      <c r="D234" s="101"/>
      <c r="E234" s="102"/>
      <c r="F234" s="101"/>
      <c r="G234" s="96"/>
      <c r="H234" s="96"/>
      <c r="I234" s="96" t="s">
        <v>1193</v>
      </c>
      <c r="J234" s="96"/>
      <c r="K234" s="96"/>
      <c r="L234" s="96"/>
      <c r="M234" s="96"/>
      <c r="N234" s="96"/>
      <c r="O234" s="96"/>
      <c r="P234" s="96"/>
      <c r="Q234" s="96"/>
    </row>
    <row r="235" spans="1:17" s="25" customFormat="1" ht="57" customHeight="1" x14ac:dyDescent="0.25">
      <c r="A235" s="149" t="s">
        <v>22</v>
      </c>
      <c r="B235" s="148"/>
      <c r="C235" s="148">
        <v>101747</v>
      </c>
      <c r="D235" s="143" t="s">
        <v>213</v>
      </c>
      <c r="E235" s="144" t="s">
        <v>214</v>
      </c>
      <c r="F235" s="143" t="s">
        <v>33</v>
      </c>
      <c r="G235" s="146"/>
      <c r="H235" s="146"/>
      <c r="I235" s="146">
        <v>0.67</v>
      </c>
      <c r="J235" s="146">
        <f>SUM(J236:J240)</f>
        <v>52.683826715500004</v>
      </c>
      <c r="K235" s="146">
        <f>SUM(K236:K240)</f>
        <v>2.6227965077999995</v>
      </c>
      <c r="L235" s="146">
        <f>J235+K235</f>
        <v>55.306623223300001</v>
      </c>
      <c r="M235" s="146">
        <f>J235*I235</f>
        <v>35.298163899385003</v>
      </c>
      <c r="N235" s="146">
        <f>K235*I235</f>
        <v>1.7572736602259997</v>
      </c>
      <c r="O235" s="146">
        <f>M235+N235</f>
        <v>37.055437559611001</v>
      </c>
      <c r="P235" s="146">
        <f>O235*$P$1</f>
        <v>9.5084252777961833</v>
      </c>
      <c r="Q235" s="146">
        <f>P235+O235</f>
        <v>46.563862837407186</v>
      </c>
    </row>
    <row r="236" spans="1:17" s="25" customFormat="1" x14ac:dyDescent="0.25">
      <c r="A236" s="200" t="s">
        <v>22</v>
      </c>
      <c r="B236" s="201" t="s">
        <v>27</v>
      </c>
      <c r="C236" s="201">
        <v>88316</v>
      </c>
      <c r="D236" s="201"/>
      <c r="E236" s="202" t="s">
        <v>30</v>
      </c>
      <c r="F236" s="201" t="s">
        <v>29</v>
      </c>
      <c r="G236" s="203">
        <v>4.5999999999999999E-2</v>
      </c>
      <c r="H236" s="203">
        <v>18.899999999999999</v>
      </c>
      <c r="I236" s="203" t="s">
        <v>1193</v>
      </c>
      <c r="J236" s="203">
        <f>0.3242*H236*G236</f>
        <v>0.28185948</v>
      </c>
      <c r="K236" s="203">
        <f>0.6758*H236*G236</f>
        <v>0.5875405199999999</v>
      </c>
      <c r="L236" s="203"/>
      <c r="M236" s="203"/>
      <c r="N236" s="203"/>
      <c r="O236" s="203"/>
      <c r="P236" s="203"/>
      <c r="Q236" s="203"/>
    </row>
    <row r="237" spans="1:17" s="25" customFormat="1" x14ac:dyDescent="0.25">
      <c r="A237" s="196" t="s">
        <v>22</v>
      </c>
      <c r="B237" s="197" t="s">
        <v>27</v>
      </c>
      <c r="C237" s="197">
        <v>88309</v>
      </c>
      <c r="D237" s="197"/>
      <c r="E237" s="198" t="s">
        <v>65</v>
      </c>
      <c r="F237" s="197" t="s">
        <v>29</v>
      </c>
      <c r="G237" s="199">
        <v>0.11169999999999999</v>
      </c>
      <c r="H237" s="199">
        <v>24.51</v>
      </c>
      <c r="I237" s="199" t="s">
        <v>1193</v>
      </c>
      <c r="J237" s="199">
        <f>0.2565*H237*G237</f>
        <v>0.70223723550000006</v>
      </c>
      <c r="K237" s="199">
        <f>0.7434*H237*G237</f>
        <v>2.0352559877999998</v>
      </c>
      <c r="L237" s="199"/>
      <c r="M237" s="199"/>
      <c r="N237" s="199"/>
      <c r="O237" s="199"/>
      <c r="P237" s="199"/>
      <c r="Q237" s="199"/>
    </row>
    <row r="238" spans="1:17" s="25" customFormat="1" ht="30" x14ac:dyDescent="0.25">
      <c r="A238" s="200" t="s">
        <v>22</v>
      </c>
      <c r="B238" s="201" t="s">
        <v>27</v>
      </c>
      <c r="C238" s="201">
        <v>95282</v>
      </c>
      <c r="D238" s="201"/>
      <c r="E238" s="204" t="s">
        <v>215</v>
      </c>
      <c r="F238" s="201" t="s">
        <v>121</v>
      </c>
      <c r="G238" s="203">
        <v>7.0000000000000001E-3</v>
      </c>
      <c r="H238" s="203">
        <v>8.39</v>
      </c>
      <c r="I238" s="203" t="s">
        <v>1193</v>
      </c>
      <c r="J238" s="203">
        <f>H238*G238</f>
        <v>5.8730000000000004E-2</v>
      </c>
      <c r="K238" s="203"/>
      <c r="L238" s="203"/>
      <c r="M238" s="203"/>
      <c r="N238" s="203"/>
      <c r="O238" s="203"/>
      <c r="P238" s="203"/>
      <c r="Q238" s="203"/>
    </row>
    <row r="239" spans="1:17" s="25" customFormat="1" ht="30" x14ac:dyDescent="0.25">
      <c r="A239" s="196" t="s">
        <v>22</v>
      </c>
      <c r="B239" s="197" t="s">
        <v>62</v>
      </c>
      <c r="C239" s="197">
        <v>34492</v>
      </c>
      <c r="D239" s="197"/>
      <c r="E239" s="207" t="s">
        <v>216</v>
      </c>
      <c r="F239" s="197" t="s">
        <v>113</v>
      </c>
      <c r="G239" s="199">
        <v>8.14E-2</v>
      </c>
      <c r="H239" s="199">
        <v>315</v>
      </c>
      <c r="I239" s="199" t="s">
        <v>1193</v>
      </c>
      <c r="J239" s="199">
        <f t="shared" ref="J239:J240" si="12">G239*H239</f>
        <v>25.641000000000002</v>
      </c>
      <c r="K239" s="199"/>
      <c r="L239" s="199"/>
      <c r="M239" s="199"/>
      <c r="N239" s="199"/>
      <c r="O239" s="199"/>
      <c r="P239" s="199"/>
      <c r="Q239" s="199"/>
    </row>
    <row r="240" spans="1:17" s="25" customFormat="1" x14ac:dyDescent="0.25">
      <c r="A240" s="200" t="s">
        <v>22</v>
      </c>
      <c r="B240" s="201" t="s">
        <v>62</v>
      </c>
      <c r="C240" s="201">
        <v>43146</v>
      </c>
      <c r="D240" s="201"/>
      <c r="E240" s="202" t="s">
        <v>217</v>
      </c>
      <c r="F240" s="201" t="s">
        <v>64</v>
      </c>
      <c r="G240" s="203">
        <v>4</v>
      </c>
      <c r="H240" s="203">
        <v>6.5</v>
      </c>
      <c r="I240" s="203" t="s">
        <v>1193</v>
      </c>
      <c r="J240" s="203">
        <f t="shared" si="12"/>
        <v>26</v>
      </c>
      <c r="K240" s="203"/>
      <c r="L240" s="203"/>
      <c r="M240" s="203"/>
      <c r="N240" s="203"/>
      <c r="O240" s="203"/>
      <c r="P240" s="203"/>
      <c r="Q240" s="203"/>
    </row>
    <row r="241" spans="1:17" s="25" customFormat="1" x14ac:dyDescent="0.25">
      <c r="A241" s="159"/>
      <c r="B241" s="160"/>
      <c r="C241" s="160"/>
      <c r="D241" s="160"/>
      <c r="E241" s="161"/>
      <c r="F241" s="160"/>
      <c r="G241" s="162"/>
      <c r="H241" s="162"/>
      <c r="I241" s="162" t="s">
        <v>1193</v>
      </c>
      <c r="J241" s="162"/>
      <c r="K241" s="162"/>
      <c r="L241" s="162"/>
      <c r="M241" s="162"/>
      <c r="N241" s="162"/>
      <c r="O241" s="162"/>
      <c r="P241" s="162"/>
      <c r="Q241" s="162"/>
    </row>
    <row r="242" spans="1:17" s="25" customFormat="1" ht="67.900000000000006" customHeight="1" x14ac:dyDescent="0.25">
      <c r="A242" s="149" t="s">
        <v>22</v>
      </c>
      <c r="B242" s="148"/>
      <c r="C242" s="148">
        <v>87765</v>
      </c>
      <c r="D242" s="143" t="s">
        <v>218</v>
      </c>
      <c r="E242" s="144" t="s">
        <v>219</v>
      </c>
      <c r="F242" s="143" t="s">
        <v>33</v>
      </c>
      <c r="G242" s="146"/>
      <c r="H242" s="146"/>
      <c r="I242" s="146">
        <v>0.67</v>
      </c>
      <c r="J242" s="146">
        <f>SUM(J243:J246)</f>
        <v>26.163683649999999</v>
      </c>
      <c r="K242" s="146">
        <f>SUM(K243:K246)</f>
        <v>20.443025159999998</v>
      </c>
      <c r="L242" s="146">
        <f>J242+K242</f>
        <v>46.606708810000001</v>
      </c>
      <c r="M242" s="146">
        <f>J242*I242</f>
        <v>17.529668045499999</v>
      </c>
      <c r="N242" s="146">
        <f>K242*I242</f>
        <v>13.6968268572</v>
      </c>
      <c r="O242" s="146">
        <f>M242+N242</f>
        <v>31.226494902699997</v>
      </c>
      <c r="P242" s="146">
        <f>O242*$P$1</f>
        <v>8.0127185920328188</v>
      </c>
      <c r="Q242" s="146">
        <f>P242+O242</f>
        <v>39.239213494732816</v>
      </c>
    </row>
    <row r="243" spans="1:17" s="25" customFormat="1" x14ac:dyDescent="0.25">
      <c r="A243" s="196" t="s">
        <v>22</v>
      </c>
      <c r="B243" s="197" t="s">
        <v>27</v>
      </c>
      <c r="C243" s="197">
        <v>88309</v>
      </c>
      <c r="D243" s="197"/>
      <c r="E243" s="198" t="s">
        <v>65</v>
      </c>
      <c r="F243" s="197" t="s">
        <v>29</v>
      </c>
      <c r="G243" s="199">
        <v>0.69</v>
      </c>
      <c r="H243" s="199">
        <v>24.51</v>
      </c>
      <c r="I243" s="199" t="s">
        <v>1193</v>
      </c>
      <c r="J243" s="199">
        <f>0.2565*H243*G243</f>
        <v>4.3379023500000002</v>
      </c>
      <c r="K243" s="199">
        <f>0.7434*H243*G243</f>
        <v>12.572306459999998</v>
      </c>
      <c r="L243" s="199"/>
      <c r="M243" s="199"/>
      <c r="N243" s="199"/>
      <c r="O243" s="199"/>
      <c r="P243" s="199"/>
      <c r="Q243" s="199"/>
    </row>
    <row r="244" spans="1:17" s="25" customFormat="1" x14ac:dyDescent="0.25">
      <c r="A244" s="200" t="s">
        <v>22</v>
      </c>
      <c r="B244" s="201" t="s">
        <v>27</v>
      </c>
      <c r="C244" s="201">
        <v>88316</v>
      </c>
      <c r="D244" s="201"/>
      <c r="E244" s="202" t="s">
        <v>30</v>
      </c>
      <c r="F244" s="201" t="s">
        <v>29</v>
      </c>
      <c r="G244" s="203">
        <v>0.34499999999999997</v>
      </c>
      <c r="H244" s="203">
        <v>18.899999999999999</v>
      </c>
      <c r="I244" s="203" t="s">
        <v>1193</v>
      </c>
      <c r="J244" s="203">
        <f>0.3242*H244*G244</f>
        <v>2.1139460999999997</v>
      </c>
      <c r="K244" s="203">
        <f>0.6758*H244*G244</f>
        <v>4.4065538999999987</v>
      </c>
      <c r="L244" s="203"/>
      <c r="M244" s="203"/>
      <c r="N244" s="203"/>
      <c r="O244" s="203"/>
      <c r="P244" s="203"/>
      <c r="Q244" s="203"/>
    </row>
    <row r="245" spans="1:17" s="25" customFormat="1" ht="30" x14ac:dyDescent="0.25">
      <c r="A245" s="196" t="s">
        <v>22</v>
      </c>
      <c r="B245" s="197" t="s">
        <v>27</v>
      </c>
      <c r="C245" s="197">
        <v>87301</v>
      </c>
      <c r="D245" s="197"/>
      <c r="E245" s="207" t="s">
        <v>220</v>
      </c>
      <c r="F245" s="197" t="s">
        <v>113</v>
      </c>
      <c r="G245" s="199">
        <v>5.2999999999999999E-2</v>
      </c>
      <c r="H245" s="199">
        <v>432</v>
      </c>
      <c r="I245" s="199" t="s">
        <v>1193</v>
      </c>
      <c r="J245" s="199">
        <f>0.8487*G245*H245</f>
        <v>19.431835199999998</v>
      </c>
      <c r="K245" s="199">
        <f>(1-0.8487)*G245*H245</f>
        <v>3.4641647999999994</v>
      </c>
      <c r="L245" s="199"/>
      <c r="M245" s="199"/>
      <c r="N245" s="199"/>
      <c r="O245" s="199"/>
      <c r="P245" s="199"/>
      <c r="Q245" s="199"/>
    </row>
    <row r="246" spans="1:17" s="25" customFormat="1" x14ac:dyDescent="0.25">
      <c r="A246" s="200" t="s">
        <v>22</v>
      </c>
      <c r="B246" s="201" t="s">
        <v>62</v>
      </c>
      <c r="C246" s="201">
        <v>1379</v>
      </c>
      <c r="D246" s="201"/>
      <c r="E246" s="202" t="s">
        <v>221</v>
      </c>
      <c r="F246" s="201" t="s">
        <v>64</v>
      </c>
      <c r="G246" s="203">
        <v>0.5</v>
      </c>
      <c r="H246" s="203">
        <v>0.56000000000000005</v>
      </c>
      <c r="I246" s="203" t="s">
        <v>1193</v>
      </c>
      <c r="J246" s="203">
        <f>G246*H246</f>
        <v>0.28000000000000003</v>
      </c>
      <c r="K246" s="203"/>
      <c r="L246" s="203"/>
      <c r="M246" s="203"/>
      <c r="N246" s="203"/>
      <c r="O246" s="203"/>
      <c r="P246" s="203"/>
      <c r="Q246" s="203"/>
    </row>
    <row r="247" spans="1:17" s="25" customFormat="1" x14ac:dyDescent="0.25">
      <c r="A247" s="159"/>
      <c r="B247" s="160"/>
      <c r="C247" s="160"/>
      <c r="D247" s="160"/>
      <c r="E247" s="161"/>
      <c r="F247" s="160"/>
      <c r="G247" s="162"/>
      <c r="H247" s="162"/>
      <c r="I247" s="162" t="s">
        <v>1193</v>
      </c>
      <c r="J247" s="162"/>
      <c r="K247" s="162"/>
      <c r="L247" s="162"/>
      <c r="M247" s="162"/>
      <c r="N247" s="162"/>
      <c r="O247" s="162"/>
      <c r="P247" s="162"/>
      <c r="Q247" s="162"/>
    </row>
    <row r="248" spans="1:17" s="25" customFormat="1" ht="55.15" customHeight="1" x14ac:dyDescent="0.25">
      <c r="A248" s="149" t="s">
        <v>22</v>
      </c>
      <c r="B248" s="148"/>
      <c r="C248" s="148">
        <v>87260</v>
      </c>
      <c r="D248" s="143" t="s">
        <v>222</v>
      </c>
      <c r="E248" s="144" t="s">
        <v>223</v>
      </c>
      <c r="F248" s="143" t="s">
        <v>33</v>
      </c>
      <c r="G248" s="146"/>
      <c r="H248" s="146"/>
      <c r="I248" s="146">
        <v>0.67</v>
      </c>
      <c r="J248" s="146">
        <f>SUM(J249:J253)</f>
        <v>95.004506790000008</v>
      </c>
      <c r="K248" s="146">
        <f>SUM(K249:K253)</f>
        <v>14.261093209999999</v>
      </c>
      <c r="L248" s="146">
        <f>J248+K248</f>
        <v>109.26560000000001</v>
      </c>
      <c r="M248" s="146">
        <f>J248*I248</f>
        <v>63.653019549300012</v>
      </c>
      <c r="N248" s="146">
        <f>K248*I248</f>
        <v>9.5549324506999991</v>
      </c>
      <c r="O248" s="146">
        <f>M248+N248</f>
        <v>73.207952000000006</v>
      </c>
      <c r="P248" s="146">
        <f>O248*$P$1</f>
        <v>18.785160483200002</v>
      </c>
      <c r="Q248" s="146">
        <f>P248+O248</f>
        <v>91.993112483200008</v>
      </c>
    </row>
    <row r="249" spans="1:17" s="25" customFormat="1" x14ac:dyDescent="0.25">
      <c r="A249" s="196" t="s">
        <v>22</v>
      </c>
      <c r="B249" s="197" t="s">
        <v>27</v>
      </c>
      <c r="C249" s="197">
        <v>88256</v>
      </c>
      <c r="D249" s="197"/>
      <c r="E249" s="198" t="s">
        <v>212</v>
      </c>
      <c r="F249" s="197" t="s">
        <v>29</v>
      </c>
      <c r="G249" s="199">
        <v>0.61</v>
      </c>
      <c r="H249" s="203">
        <v>24.43</v>
      </c>
      <c r="I249" s="199" t="s">
        <v>1193</v>
      </c>
      <c r="J249" s="199">
        <f>0.2573*H249*G249</f>
        <v>3.8343617899999995</v>
      </c>
      <c r="K249" s="199">
        <f>0.7427*H249*G249</f>
        <v>11.067938209999999</v>
      </c>
      <c r="L249" s="199"/>
      <c r="M249" s="199"/>
      <c r="N249" s="199"/>
      <c r="O249" s="199"/>
      <c r="P249" s="199"/>
      <c r="Q249" s="199"/>
    </row>
    <row r="250" spans="1:17" s="25" customFormat="1" x14ac:dyDescent="0.25">
      <c r="A250" s="200" t="s">
        <v>22</v>
      </c>
      <c r="B250" s="201" t="s">
        <v>27</v>
      </c>
      <c r="C250" s="201">
        <v>88316</v>
      </c>
      <c r="D250" s="201"/>
      <c r="E250" s="202" t="s">
        <v>30</v>
      </c>
      <c r="F250" s="201" t="s">
        <v>29</v>
      </c>
      <c r="G250" s="203">
        <v>0.25</v>
      </c>
      <c r="H250" s="203">
        <v>18.899999999999999</v>
      </c>
      <c r="I250" s="203" t="s">
        <v>1193</v>
      </c>
      <c r="J250" s="203">
        <f>0.3242*H250*G250</f>
        <v>1.5318449999999999</v>
      </c>
      <c r="K250" s="203">
        <f>0.6758*H250*G250</f>
        <v>3.1931549999999995</v>
      </c>
      <c r="L250" s="203"/>
      <c r="M250" s="203"/>
      <c r="N250" s="203"/>
      <c r="O250" s="203"/>
      <c r="P250" s="203"/>
      <c r="Q250" s="203"/>
    </row>
    <row r="251" spans="1:17" s="25" customFormat="1" x14ac:dyDescent="0.25">
      <c r="A251" s="196" t="s">
        <v>22</v>
      </c>
      <c r="B251" s="197" t="s">
        <v>62</v>
      </c>
      <c r="C251" s="197">
        <v>34357</v>
      </c>
      <c r="D251" s="197"/>
      <c r="E251" s="198" t="s">
        <v>147</v>
      </c>
      <c r="F251" s="197" t="s">
        <v>64</v>
      </c>
      <c r="G251" s="199">
        <v>0.24</v>
      </c>
      <c r="H251" s="199">
        <v>3.17</v>
      </c>
      <c r="I251" s="199" t="s">
        <v>1193</v>
      </c>
      <c r="J251" s="199">
        <f t="shared" ref="J251:J253" si="13">H251*G251</f>
        <v>0.76079999999999992</v>
      </c>
      <c r="K251" s="199"/>
      <c r="L251" s="199"/>
      <c r="M251" s="199"/>
      <c r="N251" s="199"/>
      <c r="O251" s="199"/>
      <c r="P251" s="199"/>
      <c r="Q251" s="199"/>
    </row>
    <row r="252" spans="1:17" s="25" customFormat="1" x14ac:dyDescent="0.25">
      <c r="A252" s="200" t="s">
        <v>22</v>
      </c>
      <c r="B252" s="201" t="s">
        <v>62</v>
      </c>
      <c r="C252" s="201">
        <v>37595</v>
      </c>
      <c r="D252" s="201"/>
      <c r="E252" s="202" t="s">
        <v>191</v>
      </c>
      <c r="F252" s="201" t="s">
        <v>64</v>
      </c>
      <c r="G252" s="203">
        <v>8.6199999999999992</v>
      </c>
      <c r="H252" s="199">
        <v>1.66</v>
      </c>
      <c r="I252" s="203" t="s">
        <v>1193</v>
      </c>
      <c r="J252" s="203">
        <f t="shared" si="13"/>
        <v>14.309199999999999</v>
      </c>
      <c r="K252" s="203"/>
      <c r="L252" s="203"/>
      <c r="M252" s="203"/>
      <c r="N252" s="203"/>
      <c r="O252" s="203"/>
      <c r="P252" s="203"/>
      <c r="Q252" s="203"/>
    </row>
    <row r="253" spans="1:17" s="25" customFormat="1" x14ac:dyDescent="0.25">
      <c r="A253" s="196" t="s">
        <v>22</v>
      </c>
      <c r="B253" s="197" t="s">
        <v>62</v>
      </c>
      <c r="C253" s="197">
        <v>21108</v>
      </c>
      <c r="D253" s="197"/>
      <c r="E253" s="198" t="s">
        <v>224</v>
      </c>
      <c r="F253" s="197" t="s">
        <v>33</v>
      </c>
      <c r="G253" s="199">
        <v>1.07</v>
      </c>
      <c r="H253" s="199">
        <v>69.69</v>
      </c>
      <c r="I253" s="199" t="s">
        <v>1193</v>
      </c>
      <c r="J253" s="199">
        <f t="shared" si="13"/>
        <v>74.568300000000008</v>
      </c>
      <c r="K253" s="199"/>
      <c r="L253" s="199"/>
      <c r="M253" s="199"/>
      <c r="N253" s="199"/>
      <c r="O253" s="199"/>
      <c r="P253" s="199"/>
      <c r="Q253" s="199"/>
    </row>
    <row r="254" spans="1:17" s="25" customFormat="1" x14ac:dyDescent="0.25">
      <c r="A254" s="163"/>
      <c r="B254" s="101"/>
      <c r="C254" s="101"/>
      <c r="D254" s="101"/>
      <c r="E254" s="102"/>
      <c r="F254" s="101"/>
      <c r="G254" s="96"/>
      <c r="H254" s="96"/>
      <c r="I254" s="96" t="s">
        <v>1193</v>
      </c>
      <c r="J254" s="96"/>
      <c r="K254" s="96"/>
      <c r="L254" s="96"/>
      <c r="M254" s="96"/>
      <c r="N254" s="96"/>
      <c r="O254" s="96"/>
      <c r="P254" s="96"/>
      <c r="Q254" s="96"/>
    </row>
    <row r="255" spans="1:17" s="25" customFormat="1" ht="15.75" x14ac:dyDescent="0.25">
      <c r="A255" s="136"/>
      <c r="B255" s="97"/>
      <c r="C255" s="97"/>
      <c r="D255" s="97">
        <v>6</v>
      </c>
      <c r="E255" s="98" t="s">
        <v>225</v>
      </c>
      <c r="F255" s="97"/>
      <c r="G255" s="97"/>
      <c r="H255" s="330"/>
      <c r="I255" s="97" t="s">
        <v>1193</v>
      </c>
      <c r="J255" s="330"/>
      <c r="K255" s="330"/>
      <c r="L255" s="330"/>
      <c r="M255" s="330"/>
      <c r="N255" s="330"/>
      <c r="O255" s="330"/>
      <c r="P255" s="330"/>
      <c r="Q255" s="330">
        <f>SUM(Q257:Q278)</f>
        <v>515.58845762881469</v>
      </c>
    </row>
    <row r="256" spans="1:17" s="25" customFormat="1" x14ac:dyDescent="0.25">
      <c r="A256" s="163"/>
      <c r="B256" s="101"/>
      <c r="C256" s="101"/>
      <c r="D256" s="101"/>
      <c r="E256" s="102"/>
      <c r="F256" s="101"/>
      <c r="G256" s="96"/>
      <c r="H256" s="96"/>
      <c r="I256" s="96" t="s">
        <v>1193</v>
      </c>
      <c r="J256" s="96"/>
      <c r="K256" s="96"/>
      <c r="L256" s="96"/>
      <c r="M256" s="96"/>
      <c r="N256" s="96"/>
      <c r="O256" s="96"/>
      <c r="P256" s="96"/>
      <c r="Q256" s="96"/>
    </row>
    <row r="257" spans="1:17" s="25" customFormat="1" x14ac:dyDescent="0.25">
      <c r="A257" s="149" t="s">
        <v>22</v>
      </c>
      <c r="B257" s="148"/>
      <c r="C257" s="148">
        <v>96624</v>
      </c>
      <c r="D257" s="143" t="s">
        <v>226</v>
      </c>
      <c r="E257" s="144" t="s">
        <v>227</v>
      </c>
      <c r="F257" s="143" t="s">
        <v>113</v>
      </c>
      <c r="G257" s="146"/>
      <c r="H257" s="146"/>
      <c r="I257" s="146">
        <v>0.67</v>
      </c>
      <c r="J257" s="146">
        <f>SUM(J258:J262)</f>
        <v>63.369878498999995</v>
      </c>
      <c r="K257" s="146">
        <f>SUM(K258:K262)</f>
        <v>23.127589421999996</v>
      </c>
      <c r="L257" s="146">
        <f>J257+K257</f>
        <v>86.497467920999995</v>
      </c>
      <c r="M257" s="146">
        <f>J257*I257</f>
        <v>42.45781859433</v>
      </c>
      <c r="N257" s="146">
        <f>K257*I257</f>
        <v>15.495484912739999</v>
      </c>
      <c r="O257" s="146">
        <f>M257+N257</f>
        <v>57.953303507069997</v>
      </c>
      <c r="P257" s="146">
        <f>O257*$P$1</f>
        <v>14.870817679914161</v>
      </c>
      <c r="Q257" s="146">
        <f>P257+O257</f>
        <v>72.824121186984158</v>
      </c>
    </row>
    <row r="258" spans="1:17" s="25" customFormat="1" x14ac:dyDescent="0.25">
      <c r="A258" s="200" t="s">
        <v>22</v>
      </c>
      <c r="B258" s="201" t="s">
        <v>27</v>
      </c>
      <c r="C258" s="201">
        <v>88309</v>
      </c>
      <c r="D258" s="201"/>
      <c r="E258" s="202" t="s">
        <v>65</v>
      </c>
      <c r="F258" s="201" t="s">
        <v>29</v>
      </c>
      <c r="G258" s="203">
        <v>1.0289999999999999</v>
      </c>
      <c r="H258" s="203">
        <v>24.51</v>
      </c>
      <c r="I258" s="203" t="s">
        <v>1193</v>
      </c>
      <c r="J258" s="203">
        <f>0.2565*H258*G258</f>
        <v>6.4691326350000002</v>
      </c>
      <c r="K258" s="203">
        <f>0.7434*H258*G258</f>
        <v>18.749135285999998</v>
      </c>
      <c r="L258" s="203"/>
      <c r="M258" s="203"/>
      <c r="N258" s="203"/>
      <c r="O258" s="203"/>
      <c r="P258" s="203"/>
      <c r="Q258" s="203"/>
    </row>
    <row r="259" spans="1:17" s="25" customFormat="1" x14ac:dyDescent="0.25">
      <c r="A259" s="196" t="s">
        <v>22</v>
      </c>
      <c r="B259" s="197" t="s">
        <v>27</v>
      </c>
      <c r="C259" s="197">
        <v>88316</v>
      </c>
      <c r="D259" s="197"/>
      <c r="E259" s="198" t="s">
        <v>30</v>
      </c>
      <c r="F259" s="197" t="s">
        <v>29</v>
      </c>
      <c r="G259" s="199">
        <v>0.34279999999999999</v>
      </c>
      <c r="H259" s="203">
        <v>18.899999999999999</v>
      </c>
      <c r="I259" s="199" t="s">
        <v>1193</v>
      </c>
      <c r="J259" s="199">
        <f>0.3242*H259*G259</f>
        <v>2.1004658639999998</v>
      </c>
      <c r="K259" s="199">
        <f>0.6758*H259*G259</f>
        <v>4.3784541359999993</v>
      </c>
      <c r="L259" s="199"/>
      <c r="M259" s="199"/>
      <c r="N259" s="199"/>
      <c r="O259" s="199"/>
      <c r="P259" s="199"/>
      <c r="Q259" s="199"/>
    </row>
    <row r="260" spans="1:17" s="25" customFormat="1" ht="30" x14ac:dyDescent="0.25">
      <c r="A260" s="200" t="s">
        <v>22</v>
      </c>
      <c r="B260" s="201" t="s">
        <v>27</v>
      </c>
      <c r="C260" s="201">
        <v>91277</v>
      </c>
      <c r="D260" s="201"/>
      <c r="E260" s="204" t="s">
        <v>228</v>
      </c>
      <c r="F260" s="201" t="s">
        <v>121</v>
      </c>
      <c r="G260" s="203">
        <v>3.2000000000000001E-2</v>
      </c>
      <c r="H260" s="203">
        <v>8.57</v>
      </c>
      <c r="I260" s="203" t="s">
        <v>1193</v>
      </c>
      <c r="J260" s="203">
        <f t="shared" ref="J260:J262" si="14">H260*G260</f>
        <v>0.27424000000000004</v>
      </c>
      <c r="K260" s="203"/>
      <c r="L260" s="203"/>
      <c r="M260" s="203"/>
      <c r="N260" s="203"/>
      <c r="O260" s="203"/>
      <c r="P260" s="203"/>
      <c r="Q260" s="203"/>
    </row>
    <row r="261" spans="1:17" s="25" customFormat="1" ht="30" x14ac:dyDescent="0.25">
      <c r="A261" s="196" t="s">
        <v>22</v>
      </c>
      <c r="B261" s="197" t="s">
        <v>27</v>
      </c>
      <c r="C261" s="197">
        <v>91278</v>
      </c>
      <c r="D261" s="197"/>
      <c r="E261" s="207" t="s">
        <v>229</v>
      </c>
      <c r="F261" s="197" t="s">
        <v>122</v>
      </c>
      <c r="G261" s="199">
        <v>2.8000000000000001E-2</v>
      </c>
      <c r="H261" s="199">
        <v>0.53</v>
      </c>
      <c r="I261" s="199" t="s">
        <v>1193</v>
      </c>
      <c r="J261" s="199">
        <f t="shared" si="14"/>
        <v>1.4840000000000001E-2</v>
      </c>
      <c r="K261" s="199"/>
      <c r="L261" s="199"/>
      <c r="M261" s="199"/>
      <c r="N261" s="199"/>
      <c r="O261" s="199"/>
      <c r="P261" s="199"/>
      <c r="Q261" s="199"/>
    </row>
    <row r="262" spans="1:17" s="25" customFormat="1" x14ac:dyDescent="0.25">
      <c r="A262" s="200" t="s">
        <v>22</v>
      </c>
      <c r="B262" s="201" t="s">
        <v>62</v>
      </c>
      <c r="C262" s="201">
        <v>4718</v>
      </c>
      <c r="D262" s="201"/>
      <c r="E262" s="202" t="s">
        <v>230</v>
      </c>
      <c r="F262" s="201" t="s">
        <v>113</v>
      </c>
      <c r="G262" s="203">
        <v>1.1299999999999999</v>
      </c>
      <c r="H262" s="203">
        <v>48.24</v>
      </c>
      <c r="I262" s="203" t="s">
        <v>1193</v>
      </c>
      <c r="J262" s="203">
        <f t="shared" si="14"/>
        <v>54.511199999999995</v>
      </c>
      <c r="K262" s="203"/>
      <c r="L262" s="203"/>
      <c r="M262" s="203"/>
      <c r="N262" s="203"/>
      <c r="O262" s="203"/>
      <c r="P262" s="203"/>
      <c r="Q262" s="203"/>
    </row>
    <row r="263" spans="1:17" s="25" customFormat="1" x14ac:dyDescent="0.25">
      <c r="A263" s="159"/>
      <c r="B263" s="160"/>
      <c r="C263" s="160"/>
      <c r="D263" s="160"/>
      <c r="E263" s="161"/>
      <c r="F263" s="160"/>
      <c r="G263" s="162"/>
      <c r="H263" s="162"/>
      <c r="I263" s="162" t="s">
        <v>1193</v>
      </c>
      <c r="J263" s="162"/>
      <c r="K263" s="162"/>
      <c r="L263" s="162"/>
      <c r="M263" s="162"/>
      <c r="N263" s="162"/>
      <c r="O263" s="162"/>
      <c r="P263" s="162"/>
      <c r="Q263" s="162"/>
    </row>
    <row r="264" spans="1:17" s="25" customFormat="1" ht="51.6" customHeight="1" x14ac:dyDescent="0.25">
      <c r="A264" s="149" t="s">
        <v>22</v>
      </c>
      <c r="B264" s="148"/>
      <c r="C264" s="148">
        <v>96620</v>
      </c>
      <c r="D264" s="143" t="s">
        <v>231</v>
      </c>
      <c r="E264" s="144" t="s">
        <v>232</v>
      </c>
      <c r="F264" s="143" t="s">
        <v>113</v>
      </c>
      <c r="G264" s="146"/>
      <c r="H264" s="146"/>
      <c r="I264" s="146">
        <v>0.67</v>
      </c>
      <c r="J264" s="146">
        <f>SUM(J265:J267)</f>
        <v>343.55451769500002</v>
      </c>
      <c r="K264" s="146">
        <f>SUM(K265:K267)</f>
        <v>118.00792621799999</v>
      </c>
      <c r="L264" s="146">
        <f>J264+K264</f>
        <v>461.56244391300004</v>
      </c>
      <c r="M264" s="146">
        <f>J264*I264</f>
        <v>230.18152685565002</v>
      </c>
      <c r="N264" s="146">
        <f>K264*I264</f>
        <v>79.065310566060006</v>
      </c>
      <c r="O264" s="146">
        <f>M264+N264</f>
        <v>309.24683742171004</v>
      </c>
      <c r="P264" s="146">
        <f>O264*$P$1</f>
        <v>79.3527384824108</v>
      </c>
      <c r="Q264" s="146">
        <f>P264+O264</f>
        <v>388.59957590412085</v>
      </c>
    </row>
    <row r="265" spans="1:17" s="25" customFormat="1" x14ac:dyDescent="0.25">
      <c r="A265" s="196" t="s">
        <v>22</v>
      </c>
      <c r="B265" s="197" t="s">
        <v>27</v>
      </c>
      <c r="C265" s="197">
        <v>88309</v>
      </c>
      <c r="D265" s="197"/>
      <c r="E265" s="198" t="s">
        <v>65</v>
      </c>
      <c r="F265" s="197" t="s">
        <v>29</v>
      </c>
      <c r="G265" s="199">
        <v>5.4370000000000003</v>
      </c>
      <c r="H265" s="199">
        <v>24.51</v>
      </c>
      <c r="I265" s="199" t="s">
        <v>1193</v>
      </c>
      <c r="J265" s="199">
        <f>0.2565*H265*G265</f>
        <v>34.181413155000008</v>
      </c>
      <c r="K265" s="199">
        <f>0.7434*H265*G265</f>
        <v>99.066130758</v>
      </c>
      <c r="L265" s="199"/>
      <c r="M265" s="199"/>
      <c r="N265" s="199"/>
      <c r="O265" s="199"/>
      <c r="P265" s="199"/>
      <c r="Q265" s="199"/>
    </row>
    <row r="266" spans="1:17" s="25" customFormat="1" x14ac:dyDescent="0.25">
      <c r="A266" s="200" t="s">
        <v>22</v>
      </c>
      <c r="B266" s="201" t="s">
        <v>27</v>
      </c>
      <c r="C266" s="201">
        <v>88316</v>
      </c>
      <c r="D266" s="201"/>
      <c r="E266" s="202" t="s">
        <v>30</v>
      </c>
      <c r="F266" s="201" t="s">
        <v>29</v>
      </c>
      <c r="G266" s="203">
        <v>1.4830000000000001</v>
      </c>
      <c r="H266" s="203">
        <v>18.899999999999999</v>
      </c>
      <c r="I266" s="203" t="s">
        <v>1193</v>
      </c>
      <c r="J266" s="203">
        <f>0.3242*H266*G266</f>
        <v>9.0869045400000008</v>
      </c>
      <c r="K266" s="203">
        <f>0.6758*H266*G266</f>
        <v>18.941795459999998</v>
      </c>
      <c r="L266" s="203"/>
      <c r="M266" s="203"/>
      <c r="N266" s="203"/>
      <c r="O266" s="203"/>
      <c r="P266" s="203"/>
      <c r="Q266" s="203"/>
    </row>
    <row r="267" spans="1:17" s="25" customFormat="1" ht="30" x14ac:dyDescent="0.25">
      <c r="A267" s="196" t="s">
        <v>22</v>
      </c>
      <c r="B267" s="197" t="s">
        <v>27</v>
      </c>
      <c r="C267" s="197">
        <v>94968</v>
      </c>
      <c r="D267" s="197"/>
      <c r="E267" s="207" t="s">
        <v>233</v>
      </c>
      <c r="F267" s="197" t="s">
        <v>113</v>
      </c>
      <c r="G267" s="199">
        <v>1.1299999999999999</v>
      </c>
      <c r="H267" s="199">
        <v>265.74</v>
      </c>
      <c r="I267" s="199" t="s">
        <v>1193</v>
      </c>
      <c r="J267" s="199">
        <f>H267*G267</f>
        <v>300.28620000000001</v>
      </c>
      <c r="K267" s="199"/>
      <c r="L267" s="199"/>
      <c r="M267" s="199"/>
      <c r="N267" s="199"/>
      <c r="O267" s="199"/>
      <c r="P267" s="199"/>
      <c r="Q267" s="199"/>
    </row>
    <row r="268" spans="1:17" s="25" customFormat="1" x14ac:dyDescent="0.25">
      <c r="A268" s="163"/>
      <c r="B268" s="101"/>
      <c r="C268" s="101"/>
      <c r="D268" s="101"/>
      <c r="E268" s="102"/>
      <c r="F268" s="101"/>
      <c r="G268" s="96"/>
      <c r="H268" s="96"/>
      <c r="I268" s="96" t="s">
        <v>1193</v>
      </c>
      <c r="J268" s="96"/>
      <c r="K268" s="96"/>
      <c r="L268" s="96"/>
      <c r="M268" s="96"/>
      <c r="N268" s="96"/>
      <c r="O268" s="96"/>
      <c r="P268" s="96"/>
      <c r="Q268" s="96"/>
    </row>
    <row r="269" spans="1:17" s="25" customFormat="1" ht="69.599999999999994" customHeight="1" x14ac:dyDescent="0.25">
      <c r="A269" s="149" t="s">
        <v>22</v>
      </c>
      <c r="B269" s="148"/>
      <c r="C269" s="148">
        <v>92400</v>
      </c>
      <c r="D269" s="143" t="s">
        <v>234</v>
      </c>
      <c r="E269" s="144" t="s">
        <v>235</v>
      </c>
      <c r="F269" s="143" t="s">
        <v>33</v>
      </c>
      <c r="G269" s="146"/>
      <c r="H269" s="146"/>
      <c r="I269" s="146">
        <v>0.67</v>
      </c>
      <c r="J269" s="146">
        <f>SUM(J270:J278)</f>
        <v>54.550067152400004</v>
      </c>
      <c r="K269" s="146">
        <f>SUM(K270:K278)</f>
        <v>9.7845868151999991</v>
      </c>
      <c r="L269" s="146">
        <f>J269+K269</f>
        <v>64.334653967600005</v>
      </c>
      <c r="M269" s="146">
        <f>J269*I269</f>
        <v>36.548544992108006</v>
      </c>
      <c r="N269" s="146">
        <f>K269*I269</f>
        <v>6.5556731661839995</v>
      </c>
      <c r="O269" s="146">
        <f>M269+N269</f>
        <v>43.104218158292007</v>
      </c>
      <c r="P269" s="146">
        <f>O269*$P$1</f>
        <v>11.060542379417729</v>
      </c>
      <c r="Q269" s="146">
        <f>P269+O269</f>
        <v>54.164760537709739</v>
      </c>
    </row>
    <row r="270" spans="1:17" s="25" customFormat="1" x14ac:dyDescent="0.25">
      <c r="A270" s="200" t="s">
        <v>22</v>
      </c>
      <c r="B270" s="201" t="s">
        <v>27</v>
      </c>
      <c r="C270" s="201">
        <v>88260</v>
      </c>
      <c r="D270" s="201"/>
      <c r="E270" s="202" t="s">
        <v>236</v>
      </c>
      <c r="F270" s="201" t="s">
        <v>29</v>
      </c>
      <c r="G270" s="203">
        <v>0.34670000000000001</v>
      </c>
      <c r="H270" s="203">
        <v>21.72</v>
      </c>
      <c r="I270" s="203" t="s">
        <v>1193</v>
      </c>
      <c r="J270" s="203">
        <f>0.2886*H270*G270</f>
        <v>2.1732515064000002</v>
      </c>
      <c r="K270" s="203">
        <f>0.7113*H270*G270</f>
        <v>5.3563194612</v>
      </c>
      <c r="L270" s="203"/>
      <c r="M270" s="203"/>
      <c r="N270" s="203"/>
      <c r="O270" s="203"/>
      <c r="P270" s="203"/>
      <c r="Q270" s="203"/>
    </row>
    <row r="271" spans="1:17" s="25" customFormat="1" x14ac:dyDescent="0.25">
      <c r="A271" s="196" t="s">
        <v>22</v>
      </c>
      <c r="B271" s="197" t="s">
        <v>27</v>
      </c>
      <c r="C271" s="197">
        <v>88316</v>
      </c>
      <c r="D271" s="197"/>
      <c r="E271" s="198" t="s">
        <v>30</v>
      </c>
      <c r="F271" s="197" t="s">
        <v>29</v>
      </c>
      <c r="G271" s="199">
        <v>0.34670000000000001</v>
      </c>
      <c r="H271" s="203">
        <v>18.899999999999999</v>
      </c>
      <c r="I271" s="199" t="s">
        <v>1193</v>
      </c>
      <c r="J271" s="199">
        <f>0.3242*H271*G271</f>
        <v>2.1243626459999998</v>
      </c>
      <c r="K271" s="199">
        <f>0.6758*H271*G271</f>
        <v>4.428267353999999</v>
      </c>
      <c r="L271" s="199"/>
      <c r="M271" s="199"/>
      <c r="N271" s="199"/>
      <c r="O271" s="199"/>
      <c r="P271" s="199"/>
      <c r="Q271" s="199"/>
    </row>
    <row r="272" spans="1:17" s="25" customFormat="1" ht="30" x14ac:dyDescent="0.25">
      <c r="A272" s="200" t="s">
        <v>22</v>
      </c>
      <c r="B272" s="201" t="s">
        <v>27</v>
      </c>
      <c r="C272" s="201">
        <v>91277</v>
      </c>
      <c r="D272" s="201"/>
      <c r="E272" s="204" t="s">
        <v>237</v>
      </c>
      <c r="F272" s="201" t="s">
        <v>121</v>
      </c>
      <c r="G272" s="203">
        <v>6.0000000000000001E-3</v>
      </c>
      <c r="H272" s="203">
        <v>8.57</v>
      </c>
      <c r="I272" s="203" t="s">
        <v>1193</v>
      </c>
      <c r="J272" s="203">
        <f t="shared" ref="J272:J278" si="15">G272*H272</f>
        <v>5.142E-2</v>
      </c>
      <c r="K272" s="203"/>
      <c r="L272" s="203"/>
      <c r="M272" s="203"/>
      <c r="N272" s="203"/>
      <c r="O272" s="203"/>
      <c r="P272" s="203"/>
      <c r="Q272" s="203"/>
    </row>
    <row r="273" spans="1:17" s="25" customFormat="1" ht="30" x14ac:dyDescent="0.25">
      <c r="A273" s="196" t="s">
        <v>22</v>
      </c>
      <c r="B273" s="197" t="s">
        <v>27</v>
      </c>
      <c r="C273" s="197">
        <v>91278</v>
      </c>
      <c r="D273" s="197"/>
      <c r="E273" s="207" t="s">
        <v>238</v>
      </c>
      <c r="F273" s="197" t="s">
        <v>122</v>
      </c>
      <c r="G273" s="199">
        <v>0.16</v>
      </c>
      <c r="H273" s="199">
        <v>0.53</v>
      </c>
      <c r="I273" s="199" t="s">
        <v>1193</v>
      </c>
      <c r="J273" s="199">
        <f t="shared" si="15"/>
        <v>8.48E-2</v>
      </c>
      <c r="K273" s="199"/>
      <c r="L273" s="199"/>
      <c r="M273" s="199"/>
      <c r="N273" s="199"/>
      <c r="O273" s="199"/>
      <c r="P273" s="199"/>
      <c r="Q273" s="199"/>
    </row>
    <row r="274" spans="1:17" s="25" customFormat="1" ht="45" x14ac:dyDescent="0.25">
      <c r="A274" s="200" t="s">
        <v>22</v>
      </c>
      <c r="B274" s="201" t="s">
        <v>27</v>
      </c>
      <c r="C274" s="201">
        <v>91283</v>
      </c>
      <c r="D274" s="201"/>
      <c r="E274" s="204" t="s">
        <v>239</v>
      </c>
      <c r="F274" s="201" t="s">
        <v>121</v>
      </c>
      <c r="G274" s="208">
        <v>3.7000000000000002E-3</v>
      </c>
      <c r="H274" s="203">
        <v>19.93</v>
      </c>
      <c r="I274" s="203" t="s">
        <v>1193</v>
      </c>
      <c r="J274" s="203">
        <f t="shared" si="15"/>
        <v>7.3741000000000001E-2</v>
      </c>
      <c r="K274" s="203"/>
      <c r="L274" s="203"/>
      <c r="M274" s="203"/>
      <c r="N274" s="203"/>
      <c r="O274" s="203"/>
      <c r="P274" s="203"/>
      <c r="Q274" s="203"/>
    </row>
    <row r="275" spans="1:17" s="25" customFormat="1" ht="45" x14ac:dyDescent="0.25">
      <c r="A275" s="196" t="s">
        <v>22</v>
      </c>
      <c r="B275" s="197" t="s">
        <v>27</v>
      </c>
      <c r="C275" s="197">
        <v>91285</v>
      </c>
      <c r="D275" s="197"/>
      <c r="E275" s="207" t="s">
        <v>240</v>
      </c>
      <c r="F275" s="197" t="s">
        <v>122</v>
      </c>
      <c r="G275" s="199">
        <v>0.16</v>
      </c>
      <c r="H275" s="199">
        <v>0.99</v>
      </c>
      <c r="I275" s="199" t="s">
        <v>1193</v>
      </c>
      <c r="J275" s="199">
        <f t="shared" si="15"/>
        <v>0.15840000000000001</v>
      </c>
      <c r="K275" s="199"/>
      <c r="L275" s="199"/>
      <c r="M275" s="199"/>
      <c r="N275" s="199"/>
      <c r="O275" s="199"/>
      <c r="P275" s="199"/>
      <c r="Q275" s="199"/>
    </row>
    <row r="276" spans="1:17" s="25" customFormat="1" x14ac:dyDescent="0.25">
      <c r="A276" s="200" t="s">
        <v>22</v>
      </c>
      <c r="B276" s="201" t="s">
        <v>62</v>
      </c>
      <c r="C276" s="201">
        <v>370</v>
      </c>
      <c r="D276" s="201"/>
      <c r="E276" s="202" t="s">
        <v>241</v>
      </c>
      <c r="F276" s="201" t="s">
        <v>113</v>
      </c>
      <c r="G276" s="203">
        <v>5.6800000000000003E-2</v>
      </c>
      <c r="H276" s="203">
        <v>60</v>
      </c>
      <c r="I276" s="203" t="s">
        <v>1193</v>
      </c>
      <c r="J276" s="203">
        <f t="shared" si="15"/>
        <v>3.4080000000000004</v>
      </c>
      <c r="K276" s="203"/>
      <c r="L276" s="203"/>
      <c r="M276" s="203"/>
      <c r="N276" s="203"/>
      <c r="O276" s="203"/>
      <c r="P276" s="203"/>
      <c r="Q276" s="203"/>
    </row>
    <row r="277" spans="1:17" s="25" customFormat="1" x14ac:dyDescent="0.25">
      <c r="A277" s="196" t="s">
        <v>22</v>
      </c>
      <c r="B277" s="197" t="s">
        <v>62</v>
      </c>
      <c r="C277" s="197">
        <v>4741</v>
      </c>
      <c r="D277" s="197"/>
      <c r="E277" s="198" t="s">
        <v>242</v>
      </c>
      <c r="F277" s="197" t="s">
        <v>113</v>
      </c>
      <c r="G277" s="199">
        <v>1.09E-2</v>
      </c>
      <c r="H277" s="199">
        <v>45.32</v>
      </c>
      <c r="I277" s="199" t="s">
        <v>1193</v>
      </c>
      <c r="J277" s="199">
        <f t="shared" si="15"/>
        <v>0.49398799999999998</v>
      </c>
      <c r="K277" s="199"/>
      <c r="L277" s="199"/>
      <c r="M277" s="199"/>
      <c r="N277" s="199"/>
      <c r="O277" s="199"/>
      <c r="P277" s="199"/>
      <c r="Q277" s="199"/>
    </row>
    <row r="278" spans="1:17" s="25" customFormat="1" ht="45" x14ac:dyDescent="0.25">
      <c r="A278" s="200" t="s">
        <v>22</v>
      </c>
      <c r="B278" s="201" t="s">
        <v>62</v>
      </c>
      <c r="C278" s="201">
        <v>40524</v>
      </c>
      <c r="D278" s="201"/>
      <c r="E278" s="204" t="s">
        <v>243</v>
      </c>
      <c r="F278" s="201" t="s">
        <v>33</v>
      </c>
      <c r="G278" s="203">
        <v>1.0031000000000001</v>
      </c>
      <c r="H278" s="203">
        <v>45.84</v>
      </c>
      <c r="I278" s="203" t="s">
        <v>1193</v>
      </c>
      <c r="J278" s="203">
        <f t="shared" si="15"/>
        <v>45.982104000000007</v>
      </c>
      <c r="K278" s="203"/>
      <c r="L278" s="203"/>
      <c r="M278" s="203"/>
      <c r="N278" s="203"/>
      <c r="O278" s="203"/>
      <c r="P278" s="203"/>
      <c r="Q278" s="203"/>
    </row>
    <row r="279" spans="1:17" s="25" customFormat="1" x14ac:dyDescent="0.25">
      <c r="A279" s="159"/>
      <c r="B279" s="160"/>
      <c r="C279" s="160"/>
      <c r="D279" s="160"/>
      <c r="E279" s="161"/>
      <c r="F279" s="160"/>
      <c r="G279" s="162"/>
      <c r="H279" s="162"/>
      <c r="I279" s="162" t="s">
        <v>1193</v>
      </c>
      <c r="J279" s="162"/>
      <c r="K279" s="162"/>
      <c r="L279" s="162"/>
      <c r="M279" s="162"/>
      <c r="N279" s="162"/>
      <c r="O279" s="162"/>
      <c r="P279" s="162"/>
      <c r="Q279" s="162"/>
    </row>
    <row r="280" spans="1:17" s="25" customFormat="1" ht="15.75" x14ac:dyDescent="0.25">
      <c r="A280" s="136"/>
      <c r="B280" s="97"/>
      <c r="C280" s="97"/>
      <c r="D280" s="97">
        <v>7</v>
      </c>
      <c r="E280" s="98" t="s">
        <v>244</v>
      </c>
      <c r="F280" s="97"/>
      <c r="G280" s="97"/>
      <c r="H280" s="330"/>
      <c r="I280" s="97" t="s">
        <v>1193</v>
      </c>
      <c r="J280" s="330"/>
      <c r="K280" s="330"/>
      <c r="L280" s="330"/>
      <c r="M280" s="330"/>
      <c r="N280" s="330"/>
      <c r="O280" s="330"/>
      <c r="P280" s="330"/>
      <c r="Q280" s="330">
        <f>SUM(Q282:Q378)</f>
        <v>3562.6469607039867</v>
      </c>
    </row>
    <row r="281" spans="1:17" s="25" customFormat="1" x14ac:dyDescent="0.25">
      <c r="A281" s="159"/>
      <c r="B281" s="160"/>
      <c r="C281" s="160"/>
      <c r="D281" s="160"/>
      <c r="E281" s="161"/>
      <c r="F281" s="160"/>
      <c r="G281" s="162"/>
      <c r="H281" s="162"/>
      <c r="I281" s="162" t="s">
        <v>1193</v>
      </c>
      <c r="J281" s="162"/>
      <c r="K281" s="162"/>
      <c r="L281" s="162"/>
      <c r="M281" s="162"/>
      <c r="N281" s="162"/>
      <c r="O281" s="162"/>
      <c r="P281" s="162"/>
      <c r="Q281" s="162"/>
    </row>
    <row r="282" spans="1:17" s="25" customFormat="1" ht="88.9" customHeight="1" x14ac:dyDescent="0.25">
      <c r="A282" s="149" t="s">
        <v>22</v>
      </c>
      <c r="B282" s="148"/>
      <c r="C282" s="148" t="s">
        <v>1189</v>
      </c>
      <c r="D282" s="143" t="s">
        <v>1190</v>
      </c>
      <c r="E282" s="144" t="s">
        <v>1191</v>
      </c>
      <c r="F282" s="143" t="s">
        <v>33</v>
      </c>
      <c r="G282" s="146"/>
      <c r="H282" s="146"/>
      <c r="I282" s="146">
        <v>0.67</v>
      </c>
      <c r="J282" s="146">
        <f>SUM(J283:J291)</f>
        <v>120.67097</v>
      </c>
      <c r="K282" s="146">
        <f>SUM(K283:K291)</f>
        <v>2.7204730000000001</v>
      </c>
      <c r="L282" s="146">
        <f>J282+K282</f>
        <v>123.391443</v>
      </c>
      <c r="M282" s="146">
        <f>J282*I282</f>
        <v>80.8495499</v>
      </c>
      <c r="N282" s="146">
        <f>K282*I282</f>
        <v>1.8227169100000002</v>
      </c>
      <c r="O282" s="146">
        <f>M282+N282</f>
        <v>82.672266809999996</v>
      </c>
      <c r="P282" s="146">
        <f>O282*$P$1</f>
        <v>21.213703663445997</v>
      </c>
      <c r="Q282" s="146">
        <f>P282+O282</f>
        <v>103.88597047344599</v>
      </c>
    </row>
    <row r="283" spans="1:17" s="25" customFormat="1" ht="30" x14ac:dyDescent="0.25">
      <c r="A283" s="196" t="s">
        <v>22</v>
      </c>
      <c r="B283" s="197" t="s">
        <v>62</v>
      </c>
      <c r="C283" s="197">
        <v>40424</v>
      </c>
      <c r="D283" s="197"/>
      <c r="E283" s="207" t="s">
        <v>1165</v>
      </c>
      <c r="F283" s="197" t="s">
        <v>1166</v>
      </c>
      <c r="G283" s="199" t="s">
        <v>1167</v>
      </c>
      <c r="H283" s="199">
        <v>11.06</v>
      </c>
      <c r="I283" s="199" t="s">
        <v>1193</v>
      </c>
      <c r="J283" s="199">
        <f t="shared" ref="J283:J287" si="16">H283*G283</f>
        <v>2.2120000000000002</v>
      </c>
      <c r="K283" s="199"/>
      <c r="L283" s="199"/>
      <c r="M283" s="199"/>
      <c r="N283" s="199"/>
      <c r="O283" s="199"/>
      <c r="P283" s="199"/>
      <c r="Q283" s="199"/>
    </row>
    <row r="284" spans="1:17" s="25" customFormat="1" x14ac:dyDescent="0.25">
      <c r="A284" s="196" t="s">
        <v>22</v>
      </c>
      <c r="B284" s="197" t="s">
        <v>62</v>
      </c>
      <c r="C284" s="197">
        <v>40535</v>
      </c>
      <c r="D284" s="197"/>
      <c r="E284" s="207" t="s">
        <v>1168</v>
      </c>
      <c r="F284" s="197" t="s">
        <v>1166</v>
      </c>
      <c r="G284" s="199" t="s">
        <v>1169</v>
      </c>
      <c r="H284" s="199">
        <v>17.739999999999998</v>
      </c>
      <c r="I284" s="199" t="s">
        <v>1193</v>
      </c>
      <c r="J284" s="199">
        <f t="shared" si="16"/>
        <v>47.294839999999994</v>
      </c>
      <c r="K284" s="199"/>
      <c r="L284" s="199"/>
      <c r="M284" s="199"/>
      <c r="N284" s="199"/>
      <c r="O284" s="199"/>
      <c r="P284" s="199"/>
      <c r="Q284" s="199"/>
    </row>
    <row r="285" spans="1:17" s="25" customFormat="1" x14ac:dyDescent="0.25">
      <c r="A285" s="196" t="s">
        <v>22</v>
      </c>
      <c r="B285" s="197" t="s">
        <v>62</v>
      </c>
      <c r="C285" s="197">
        <v>40547</v>
      </c>
      <c r="D285" s="197"/>
      <c r="E285" s="207" t="s">
        <v>1170</v>
      </c>
      <c r="F285" s="197" t="s">
        <v>1171</v>
      </c>
      <c r="G285" s="199" t="s">
        <v>1172</v>
      </c>
      <c r="H285" s="199">
        <v>22.47</v>
      </c>
      <c r="I285" s="199" t="s">
        <v>1193</v>
      </c>
      <c r="J285" s="199">
        <f t="shared" si="16"/>
        <v>1.3481999999999998</v>
      </c>
      <c r="K285" s="199"/>
      <c r="L285" s="199"/>
      <c r="M285" s="199"/>
      <c r="N285" s="199"/>
      <c r="O285" s="199"/>
      <c r="P285" s="199"/>
      <c r="Q285" s="199"/>
    </row>
    <row r="286" spans="1:17" s="25" customFormat="1" x14ac:dyDescent="0.25">
      <c r="A286" s="196" t="s">
        <v>22</v>
      </c>
      <c r="B286" s="197" t="s">
        <v>62</v>
      </c>
      <c r="C286" s="197">
        <v>40664</v>
      </c>
      <c r="D286" s="197"/>
      <c r="E286" s="207" t="s">
        <v>1173</v>
      </c>
      <c r="F286" s="197" t="s">
        <v>1166</v>
      </c>
      <c r="G286" s="199" t="s">
        <v>1174</v>
      </c>
      <c r="H286" s="199">
        <v>36.4</v>
      </c>
      <c r="I286" s="199" t="s">
        <v>1193</v>
      </c>
      <c r="J286" s="199">
        <f t="shared" si="16"/>
        <v>63.008400000000002</v>
      </c>
      <c r="K286" s="199"/>
      <c r="L286" s="199"/>
      <c r="M286" s="199"/>
      <c r="N286" s="199"/>
      <c r="O286" s="199"/>
      <c r="P286" s="199"/>
      <c r="Q286" s="199"/>
    </row>
    <row r="287" spans="1:17" s="25" customFormat="1" ht="30" x14ac:dyDescent="0.25">
      <c r="A287" s="196" t="s">
        <v>22</v>
      </c>
      <c r="B287" s="197" t="s">
        <v>62</v>
      </c>
      <c r="C287" s="197">
        <v>40839</v>
      </c>
      <c r="D287" s="197"/>
      <c r="E287" s="207" t="s">
        <v>1175</v>
      </c>
      <c r="F287" s="197" t="s">
        <v>1171</v>
      </c>
      <c r="G287" s="199" t="s">
        <v>1176</v>
      </c>
      <c r="H287" s="199">
        <v>93.1</v>
      </c>
      <c r="I287" s="199" t="s">
        <v>1193</v>
      </c>
      <c r="J287" s="199">
        <f t="shared" si="16"/>
        <v>0.46549999999999997</v>
      </c>
      <c r="K287" s="199"/>
      <c r="L287" s="199"/>
      <c r="M287" s="199"/>
      <c r="N287" s="199"/>
      <c r="O287" s="199"/>
      <c r="P287" s="199"/>
      <c r="Q287" s="199"/>
    </row>
    <row r="288" spans="1:17" s="25" customFormat="1" x14ac:dyDescent="0.25">
      <c r="A288" s="196" t="s">
        <v>22</v>
      </c>
      <c r="B288" s="197" t="s">
        <v>1177</v>
      </c>
      <c r="C288" s="197">
        <v>88278</v>
      </c>
      <c r="D288" s="197"/>
      <c r="E288" s="207" t="s">
        <v>1178</v>
      </c>
      <c r="F288" s="197" t="s">
        <v>438</v>
      </c>
      <c r="G288" s="199" t="s">
        <v>1179</v>
      </c>
      <c r="H288" s="199">
        <v>22.41</v>
      </c>
      <c r="I288" s="199" t="s">
        <v>1193</v>
      </c>
      <c r="J288" s="199">
        <f t="shared" ref="J288" si="17">H288*G288</f>
        <v>6.3420299999999994</v>
      </c>
      <c r="K288" s="199"/>
      <c r="L288" s="199"/>
      <c r="M288" s="199"/>
      <c r="N288" s="199"/>
      <c r="O288" s="199"/>
      <c r="P288" s="199"/>
      <c r="Q288" s="199"/>
    </row>
    <row r="289" spans="1:17" s="25" customFormat="1" x14ac:dyDescent="0.25">
      <c r="A289" s="196" t="s">
        <v>22</v>
      </c>
      <c r="B289" s="197" t="s">
        <v>1177</v>
      </c>
      <c r="C289" s="197">
        <v>88316</v>
      </c>
      <c r="D289" s="197"/>
      <c r="E289" s="207" t="s">
        <v>1181</v>
      </c>
      <c r="F289" s="197" t="s">
        <v>438</v>
      </c>
      <c r="G289" s="199" t="s">
        <v>1182</v>
      </c>
      <c r="H289" s="203">
        <v>18.899999999999999</v>
      </c>
      <c r="I289" s="199" t="s">
        <v>1193</v>
      </c>
      <c r="J289" s="199"/>
      <c r="K289" s="199">
        <f>Tabela2[[#This Row],[COEF]]*Tabela2[[#This Row],[CUSTO INSUMO]]</f>
        <v>2.3624999999999998</v>
      </c>
      <c r="L289" s="199"/>
      <c r="M289" s="199"/>
      <c r="N289" s="199"/>
      <c r="O289" s="199"/>
      <c r="P289" s="199"/>
      <c r="Q289" s="199"/>
    </row>
    <row r="290" spans="1:17" s="25" customFormat="1" ht="30" x14ac:dyDescent="0.25">
      <c r="A290" s="196" t="s">
        <v>22</v>
      </c>
      <c r="B290" s="197" t="s">
        <v>1177</v>
      </c>
      <c r="C290" s="197">
        <v>93281</v>
      </c>
      <c r="D290" s="197"/>
      <c r="E290" s="207" t="s">
        <v>1184</v>
      </c>
      <c r="F290" s="197" t="s">
        <v>285</v>
      </c>
      <c r="G290" s="199" t="s">
        <v>1185</v>
      </c>
      <c r="H290" s="199">
        <v>22.32</v>
      </c>
      <c r="I290" s="199" t="s">
        <v>1193</v>
      </c>
      <c r="J290" s="199"/>
      <c r="K290" s="199">
        <f>Tabela2[[#This Row],[COEF]]*Tabela2[[#This Row],[CUSTO INSUMO]]</f>
        <v>0.15400800000000001</v>
      </c>
      <c r="L290" s="199"/>
      <c r="M290" s="199"/>
      <c r="N290" s="199"/>
      <c r="O290" s="199"/>
      <c r="P290" s="199"/>
      <c r="Q290" s="199"/>
    </row>
    <row r="291" spans="1:17" s="25" customFormat="1" ht="30" x14ac:dyDescent="0.25">
      <c r="A291" s="196" t="s">
        <v>22</v>
      </c>
      <c r="B291" s="197" t="s">
        <v>1177</v>
      </c>
      <c r="C291" s="197">
        <v>93282</v>
      </c>
      <c r="D291" s="197"/>
      <c r="E291" s="207" t="s">
        <v>1187</v>
      </c>
      <c r="F291" s="197" t="s">
        <v>286</v>
      </c>
      <c r="G291" s="199" t="s">
        <v>1188</v>
      </c>
      <c r="H291" s="199">
        <v>21.47</v>
      </c>
      <c r="I291" s="199" t="s">
        <v>1193</v>
      </c>
      <c r="J291" s="199"/>
      <c r="K291" s="199">
        <f>Tabela2[[#This Row],[COEF]]*Tabela2[[#This Row],[CUSTO INSUMO]]</f>
        <v>0.20396499999999998</v>
      </c>
      <c r="L291" s="199"/>
      <c r="M291" s="199"/>
      <c r="N291" s="199"/>
      <c r="O291" s="199"/>
      <c r="P291" s="199"/>
      <c r="Q291" s="199"/>
    </row>
    <row r="292" spans="1:17" s="25" customFormat="1" x14ac:dyDescent="0.25">
      <c r="A292" s="159"/>
      <c r="B292" s="160"/>
      <c r="C292" s="160"/>
      <c r="D292" s="160"/>
      <c r="E292" s="161"/>
      <c r="F292" s="160"/>
      <c r="G292" s="162"/>
      <c r="H292" s="162"/>
      <c r="I292" s="162" t="s">
        <v>1193</v>
      </c>
      <c r="J292" s="162"/>
      <c r="K292" s="162"/>
      <c r="L292" s="162"/>
      <c r="M292" s="162"/>
      <c r="N292" s="162"/>
      <c r="O292" s="162"/>
      <c r="P292" s="162"/>
      <c r="Q292" s="162"/>
    </row>
    <row r="293" spans="1:17" s="25" customFormat="1" ht="129" customHeight="1" x14ac:dyDescent="0.25">
      <c r="A293" s="149" t="s">
        <v>22</v>
      </c>
      <c r="B293" s="148"/>
      <c r="C293" s="148">
        <v>92542</v>
      </c>
      <c r="D293" s="143" t="s">
        <v>245</v>
      </c>
      <c r="E293" s="144" t="s">
        <v>246</v>
      </c>
      <c r="F293" s="143" t="s">
        <v>33</v>
      </c>
      <c r="G293" s="146"/>
      <c r="H293" s="146"/>
      <c r="I293" s="146">
        <v>0.67</v>
      </c>
      <c r="J293" s="146">
        <f>SUM(J294:J303)</f>
        <v>92.675128986599987</v>
      </c>
      <c r="K293" s="146">
        <f>SUM(K294:K303)</f>
        <v>20.475975171399995</v>
      </c>
      <c r="L293" s="146">
        <f>J293+K293</f>
        <v>113.15110415799998</v>
      </c>
      <c r="M293" s="146">
        <f>J293*I293</f>
        <v>62.092336421021997</v>
      </c>
      <c r="N293" s="146">
        <f>K293*I293</f>
        <v>13.718903364837997</v>
      </c>
      <c r="O293" s="146">
        <f>M293+N293</f>
        <v>75.811239785859996</v>
      </c>
      <c r="P293" s="146">
        <f>O293*$P$1</f>
        <v>19.453164129051675</v>
      </c>
      <c r="Q293" s="146">
        <f>P293+O293</f>
        <v>95.264403914911668</v>
      </c>
    </row>
    <row r="294" spans="1:17" s="25" customFormat="1" x14ac:dyDescent="0.25">
      <c r="A294" s="196" t="s">
        <v>22</v>
      </c>
      <c r="B294" s="197" t="s">
        <v>27</v>
      </c>
      <c r="C294" s="197">
        <v>88262</v>
      </c>
      <c r="D294" s="197"/>
      <c r="E294" s="198" t="s">
        <v>34</v>
      </c>
      <c r="F294" s="197" t="s">
        <v>29</v>
      </c>
      <c r="G294" s="199">
        <v>0.67600000000000005</v>
      </c>
      <c r="H294" s="199">
        <v>24.29</v>
      </c>
      <c r="I294" s="199" t="s">
        <v>1193</v>
      </c>
      <c r="J294" s="199">
        <f>H294*G294*0.2544</f>
        <v>4.1772581760000005</v>
      </c>
      <c r="K294" s="199">
        <f>0.745*H294*G294</f>
        <v>12.232929799999999</v>
      </c>
      <c r="L294" s="199"/>
      <c r="M294" s="199"/>
      <c r="N294" s="199"/>
      <c r="O294" s="199"/>
      <c r="P294" s="199"/>
      <c r="Q294" s="199"/>
    </row>
    <row r="295" spans="1:17" s="25" customFormat="1" x14ac:dyDescent="0.25">
      <c r="A295" s="200" t="s">
        <v>22</v>
      </c>
      <c r="B295" s="201" t="s">
        <v>27</v>
      </c>
      <c r="C295" s="201">
        <v>88239</v>
      </c>
      <c r="D295" s="201"/>
      <c r="E295" s="202" t="s">
        <v>168</v>
      </c>
      <c r="F295" s="201" t="s">
        <v>29</v>
      </c>
      <c r="G295" s="203">
        <v>0.49399999999999999</v>
      </c>
      <c r="H295" s="203">
        <v>18.829999999999998</v>
      </c>
      <c r="I295" s="203" t="s">
        <v>1193</v>
      </c>
      <c r="J295" s="203">
        <f>0.3021*H295*G295</f>
        <v>2.8101402419999997</v>
      </c>
      <c r="K295" s="203">
        <f>0.697*H295*G295</f>
        <v>6.4835079399999982</v>
      </c>
      <c r="L295" s="203"/>
      <c r="M295" s="203"/>
      <c r="N295" s="203"/>
      <c r="O295" s="203"/>
      <c r="P295" s="203"/>
      <c r="Q295" s="203"/>
    </row>
    <row r="296" spans="1:17" s="25" customFormat="1" ht="30" x14ac:dyDescent="0.25">
      <c r="A296" s="196" t="s">
        <v>22</v>
      </c>
      <c r="B296" s="197" t="s">
        <v>27</v>
      </c>
      <c r="C296" s="197">
        <v>93281</v>
      </c>
      <c r="D296" s="197"/>
      <c r="E296" s="207" t="s">
        <v>247</v>
      </c>
      <c r="F296" s="197" t="s">
        <v>121</v>
      </c>
      <c r="G296" s="199">
        <v>4.3499999999999997E-2</v>
      </c>
      <c r="H296" s="199">
        <v>22.34</v>
      </c>
      <c r="I296" s="199" t="s">
        <v>1193</v>
      </c>
      <c r="J296" s="199">
        <f>0.2193*G296*H296</f>
        <v>0.21311354699999999</v>
      </c>
      <c r="K296" s="199">
        <f>(1-0.2193)*G296*H296</f>
        <v>0.75867645299999986</v>
      </c>
      <c r="L296" s="199"/>
      <c r="M296" s="199"/>
      <c r="N296" s="199"/>
      <c r="O296" s="199"/>
      <c r="P296" s="199"/>
      <c r="Q296" s="199"/>
    </row>
    <row r="297" spans="1:17" s="25" customFormat="1" ht="30" x14ac:dyDescent="0.25">
      <c r="A297" s="200" t="s">
        <v>22</v>
      </c>
      <c r="B297" s="201" t="s">
        <v>27</v>
      </c>
      <c r="C297" s="201">
        <v>93282</v>
      </c>
      <c r="D297" s="201"/>
      <c r="E297" s="204" t="s">
        <v>248</v>
      </c>
      <c r="F297" s="201" t="s">
        <v>122</v>
      </c>
      <c r="G297" s="203">
        <v>6.0400000000000002E-2</v>
      </c>
      <c r="H297" s="203">
        <v>21.47</v>
      </c>
      <c r="I297" s="203" t="s">
        <v>1193</v>
      </c>
      <c r="J297" s="203">
        <f>0.2282*G297*H297</f>
        <v>0.29592702160000001</v>
      </c>
      <c r="K297" s="203">
        <f>(1-0.2282)*G297*H297</f>
        <v>1.0008609784000002</v>
      </c>
      <c r="L297" s="203"/>
      <c r="M297" s="203"/>
      <c r="N297" s="203"/>
      <c r="O297" s="203"/>
      <c r="P297" s="203"/>
      <c r="Q297" s="203"/>
    </row>
    <row r="298" spans="1:17" s="25" customFormat="1" ht="30" x14ac:dyDescent="0.25">
      <c r="A298" s="196" t="s">
        <v>22</v>
      </c>
      <c r="B298" s="197" t="s">
        <v>62</v>
      </c>
      <c r="C298" s="197">
        <v>4408</v>
      </c>
      <c r="D298" s="197"/>
      <c r="E298" s="207" t="s">
        <v>249</v>
      </c>
      <c r="F298" s="197" t="s">
        <v>39</v>
      </c>
      <c r="G298" s="199">
        <v>2.589</v>
      </c>
      <c r="H298" s="199">
        <v>2.52</v>
      </c>
      <c r="I298" s="199" t="s">
        <v>1193</v>
      </c>
      <c r="J298" s="199">
        <f t="shared" ref="J298:J303" si="18">H298*G298</f>
        <v>6.5242800000000001</v>
      </c>
      <c r="K298" s="199"/>
      <c r="L298" s="199"/>
      <c r="M298" s="199"/>
      <c r="N298" s="199"/>
      <c r="O298" s="199"/>
      <c r="P298" s="199"/>
      <c r="Q298" s="199"/>
    </row>
    <row r="299" spans="1:17" s="25" customFormat="1" ht="30" x14ac:dyDescent="0.25">
      <c r="A299" s="200" t="s">
        <v>22</v>
      </c>
      <c r="B299" s="201" t="s">
        <v>62</v>
      </c>
      <c r="C299" s="201">
        <v>4425</v>
      </c>
      <c r="D299" s="201"/>
      <c r="E299" s="204" t="s">
        <v>250</v>
      </c>
      <c r="F299" s="201" t="s">
        <v>39</v>
      </c>
      <c r="G299" s="203">
        <v>1.0169999999999999</v>
      </c>
      <c r="H299" s="203">
        <v>35.53</v>
      </c>
      <c r="I299" s="203" t="s">
        <v>1193</v>
      </c>
      <c r="J299" s="203">
        <f t="shared" si="18"/>
        <v>36.134009999999996</v>
      </c>
      <c r="K299" s="203"/>
      <c r="L299" s="203"/>
      <c r="M299" s="203"/>
      <c r="N299" s="203"/>
      <c r="O299" s="203"/>
      <c r="P299" s="203"/>
      <c r="Q299" s="203"/>
    </row>
    <row r="300" spans="1:17" s="25" customFormat="1" ht="30" x14ac:dyDescent="0.25">
      <c r="A300" s="196" t="s">
        <v>22</v>
      </c>
      <c r="B300" s="197" t="s">
        <v>62</v>
      </c>
      <c r="C300" s="197">
        <v>4430</v>
      </c>
      <c r="D300" s="197"/>
      <c r="E300" s="207" t="s">
        <v>251</v>
      </c>
      <c r="F300" s="197" t="s">
        <v>39</v>
      </c>
      <c r="G300" s="199">
        <v>2.36</v>
      </c>
      <c r="H300" s="199">
        <v>16.8</v>
      </c>
      <c r="I300" s="199" t="s">
        <v>1193</v>
      </c>
      <c r="J300" s="199">
        <f t="shared" si="18"/>
        <v>39.647999999999996</v>
      </c>
      <c r="K300" s="199"/>
      <c r="L300" s="199"/>
      <c r="M300" s="199"/>
      <c r="N300" s="199"/>
      <c r="O300" s="199"/>
      <c r="P300" s="199"/>
      <c r="Q300" s="199"/>
    </row>
    <row r="301" spans="1:17" s="25" customFormat="1" x14ac:dyDescent="0.25">
      <c r="A301" s="200" t="s">
        <v>22</v>
      </c>
      <c r="B301" s="201" t="s">
        <v>62</v>
      </c>
      <c r="C301" s="201">
        <v>20247</v>
      </c>
      <c r="D301" s="201"/>
      <c r="E301" s="204" t="s">
        <v>252</v>
      </c>
      <c r="F301" s="201" t="s">
        <v>64</v>
      </c>
      <c r="G301" s="203">
        <v>7.0000000000000007E-2</v>
      </c>
      <c r="H301" s="203">
        <v>20.170000000000002</v>
      </c>
      <c r="I301" s="203" t="s">
        <v>1193</v>
      </c>
      <c r="J301" s="203">
        <f t="shared" si="18"/>
        <v>1.4119000000000002</v>
      </c>
      <c r="K301" s="203"/>
      <c r="L301" s="203"/>
      <c r="M301" s="203" t="s">
        <v>253</v>
      </c>
      <c r="N301" s="203"/>
      <c r="O301" s="203"/>
      <c r="P301" s="203"/>
      <c r="Q301" s="203"/>
    </row>
    <row r="302" spans="1:17" s="25" customFormat="1" x14ac:dyDescent="0.25">
      <c r="A302" s="196" t="s">
        <v>22</v>
      </c>
      <c r="B302" s="197" t="s">
        <v>62</v>
      </c>
      <c r="C302" s="197">
        <v>39027</v>
      </c>
      <c r="D302" s="197"/>
      <c r="E302" s="226" t="s">
        <v>254</v>
      </c>
      <c r="F302" s="197" t="s">
        <v>64</v>
      </c>
      <c r="G302" s="199">
        <v>0.05</v>
      </c>
      <c r="H302" s="199">
        <v>18.2</v>
      </c>
      <c r="I302" s="199" t="s">
        <v>1193</v>
      </c>
      <c r="J302" s="199">
        <f t="shared" si="18"/>
        <v>0.91</v>
      </c>
      <c r="K302" s="199"/>
      <c r="L302" s="199"/>
      <c r="M302" s="199"/>
      <c r="N302" s="199"/>
      <c r="O302" s="199"/>
      <c r="P302" s="199"/>
      <c r="Q302" s="199"/>
    </row>
    <row r="303" spans="1:17" s="25" customFormat="1" x14ac:dyDescent="0.25">
      <c r="A303" s="200" t="s">
        <v>22</v>
      </c>
      <c r="B303" s="201" t="s">
        <v>62</v>
      </c>
      <c r="C303" s="201">
        <v>40568</v>
      </c>
      <c r="D303" s="201"/>
      <c r="E303" s="204" t="s">
        <v>255</v>
      </c>
      <c r="F303" s="201" t="s">
        <v>64</v>
      </c>
      <c r="G303" s="203">
        <v>0.03</v>
      </c>
      <c r="H303" s="203">
        <v>18.350000000000001</v>
      </c>
      <c r="I303" s="203" t="s">
        <v>1193</v>
      </c>
      <c r="J303" s="203">
        <f t="shared" si="18"/>
        <v>0.55049999999999999</v>
      </c>
      <c r="K303" s="203"/>
      <c r="L303" s="203"/>
      <c r="M303" s="203"/>
      <c r="N303" s="203"/>
      <c r="O303" s="203"/>
      <c r="P303" s="203"/>
      <c r="Q303" s="203"/>
    </row>
    <row r="304" spans="1:17" s="25" customFormat="1" x14ac:dyDescent="0.25">
      <c r="A304" s="159"/>
      <c r="B304" s="160"/>
      <c r="C304" s="160"/>
      <c r="D304" s="160"/>
      <c r="E304" s="161"/>
      <c r="F304" s="160"/>
      <c r="G304" s="162"/>
      <c r="H304" s="162"/>
      <c r="I304" s="162" t="s">
        <v>1193</v>
      </c>
      <c r="J304" s="162"/>
      <c r="K304" s="162"/>
      <c r="L304" s="162"/>
      <c r="M304" s="162"/>
      <c r="N304" s="162"/>
      <c r="O304" s="162"/>
      <c r="P304" s="162"/>
      <c r="Q304" s="162"/>
    </row>
    <row r="305" spans="1:17" s="25" customFormat="1" ht="134.44999999999999" customHeight="1" x14ac:dyDescent="0.25">
      <c r="A305" s="149" t="s">
        <v>22</v>
      </c>
      <c r="B305" s="148"/>
      <c r="C305" s="148">
        <v>92564</v>
      </c>
      <c r="D305" s="143" t="s">
        <v>256</v>
      </c>
      <c r="E305" s="144" t="s">
        <v>257</v>
      </c>
      <c r="F305" s="143" t="s">
        <v>33</v>
      </c>
      <c r="G305" s="146"/>
      <c r="H305" s="146"/>
      <c r="I305" s="146">
        <v>0.67</v>
      </c>
      <c r="J305" s="146">
        <f>SUM(J306:J317)</f>
        <v>2413.9183658830002</v>
      </c>
      <c r="K305" s="146">
        <f>SUM(K306:K317)</f>
        <v>879.32892607700001</v>
      </c>
      <c r="L305" s="146">
        <f>J305+K305</f>
        <v>3293.2472919600004</v>
      </c>
      <c r="M305" s="146">
        <f>J305*I305</f>
        <v>1617.3253051416102</v>
      </c>
      <c r="N305" s="146">
        <f>K305*I305</f>
        <v>589.15038047158998</v>
      </c>
      <c r="O305" s="146">
        <f>M305+N305</f>
        <v>2206.4756856132003</v>
      </c>
      <c r="P305" s="146">
        <f>O305*$P$1</f>
        <v>566.18166092834724</v>
      </c>
      <c r="Q305" s="146">
        <f>P305+O305</f>
        <v>2772.6573465415477</v>
      </c>
    </row>
    <row r="306" spans="1:17" s="25" customFormat="1" x14ac:dyDescent="0.25">
      <c r="A306" s="196" t="s">
        <v>22</v>
      </c>
      <c r="B306" s="197" t="s">
        <v>27</v>
      </c>
      <c r="C306" s="197">
        <v>88262</v>
      </c>
      <c r="D306" s="197"/>
      <c r="E306" s="198" t="s">
        <v>258</v>
      </c>
      <c r="F306" s="197" t="s">
        <v>29</v>
      </c>
      <c r="G306" s="199">
        <v>26.228999999999999</v>
      </c>
      <c r="H306" s="199">
        <v>24.29</v>
      </c>
      <c r="I306" s="199" t="s">
        <v>1193</v>
      </c>
      <c r="J306" s="199">
        <f>H306*G306*0.2544</f>
        <v>162.07885310399999</v>
      </c>
      <c r="K306" s="199">
        <f>0.7455*H306*G306</f>
        <v>474.95984665500004</v>
      </c>
      <c r="L306" s="199"/>
      <c r="M306" s="199"/>
      <c r="N306" s="199"/>
      <c r="O306" s="199"/>
      <c r="P306" s="199"/>
      <c r="Q306" s="199"/>
    </row>
    <row r="307" spans="1:17" s="25" customFormat="1" x14ac:dyDescent="0.25">
      <c r="A307" s="200" t="s">
        <v>22</v>
      </c>
      <c r="B307" s="201" t="s">
        <v>27</v>
      </c>
      <c r="C307" s="201">
        <v>88239</v>
      </c>
      <c r="D307" s="201"/>
      <c r="E307" s="202" t="s">
        <v>168</v>
      </c>
      <c r="F307" s="201" t="s">
        <v>29</v>
      </c>
      <c r="G307" s="203">
        <v>6.0529999999999999</v>
      </c>
      <c r="H307" s="203">
        <v>18.829999999999998</v>
      </c>
      <c r="I307" s="203" t="s">
        <v>1193</v>
      </c>
      <c r="J307" s="203">
        <f>0.3021*H307*G307</f>
        <v>34.432750778999996</v>
      </c>
      <c r="K307" s="203">
        <f>0.6978*H307*G307</f>
        <v>79.533841421999981</v>
      </c>
      <c r="L307" s="203"/>
      <c r="M307" s="203"/>
      <c r="N307" s="203"/>
      <c r="O307" s="203"/>
      <c r="P307" s="203"/>
      <c r="Q307" s="203"/>
    </row>
    <row r="308" spans="1:17" s="25" customFormat="1" ht="30" x14ac:dyDescent="0.25">
      <c r="A308" s="196" t="s">
        <v>22</v>
      </c>
      <c r="B308" s="197" t="s">
        <v>27</v>
      </c>
      <c r="C308" s="197">
        <v>92262</v>
      </c>
      <c r="D308" s="197"/>
      <c r="E308" s="207" t="s">
        <v>259</v>
      </c>
      <c r="F308" s="197" t="s">
        <v>1215</v>
      </c>
      <c r="G308" s="199">
        <v>1</v>
      </c>
      <c r="H308" s="199">
        <v>739.27</v>
      </c>
      <c r="I308" s="199" t="s">
        <v>1193</v>
      </c>
      <c r="J308" s="199">
        <f>0.5606*G308*H308</f>
        <v>414.43476199999998</v>
      </c>
      <c r="K308" s="199">
        <f>(1-0.5606)*G308*H308</f>
        <v>324.835238</v>
      </c>
      <c r="L308" s="199"/>
      <c r="M308" s="199"/>
      <c r="N308" s="199"/>
      <c r="O308" s="199"/>
      <c r="P308" s="199"/>
      <c r="Q308" s="199"/>
    </row>
    <row r="309" spans="1:17" s="25" customFormat="1" ht="30" x14ac:dyDescent="0.25">
      <c r="A309" s="200" t="s">
        <v>22</v>
      </c>
      <c r="B309" s="201" t="s">
        <v>62</v>
      </c>
      <c r="C309" s="201">
        <v>4344</v>
      </c>
      <c r="D309" s="201"/>
      <c r="E309" s="204" t="s">
        <v>260</v>
      </c>
      <c r="F309" s="201" t="s">
        <v>1215</v>
      </c>
      <c r="G309" s="203">
        <v>4</v>
      </c>
      <c r="H309" s="203">
        <v>21.8</v>
      </c>
      <c r="I309" s="203" t="s">
        <v>1193</v>
      </c>
      <c r="J309" s="203">
        <f t="shared" ref="J309:J317" si="19">H309*G309</f>
        <v>87.2</v>
      </c>
      <c r="K309" s="203"/>
      <c r="L309" s="203"/>
      <c r="M309" s="203"/>
      <c r="N309" s="203"/>
      <c r="O309" s="203"/>
      <c r="P309" s="203"/>
      <c r="Q309" s="203"/>
    </row>
    <row r="310" spans="1:17" s="25" customFormat="1" ht="30" x14ac:dyDescent="0.25">
      <c r="A310" s="196" t="s">
        <v>22</v>
      </c>
      <c r="B310" s="197" t="s">
        <v>62</v>
      </c>
      <c r="C310" s="197">
        <v>4400</v>
      </c>
      <c r="D310" s="197"/>
      <c r="E310" s="207" t="s">
        <v>261</v>
      </c>
      <c r="F310" s="197" t="s">
        <v>39</v>
      </c>
      <c r="G310" s="199">
        <v>10</v>
      </c>
      <c r="H310" s="199">
        <v>26.74</v>
      </c>
      <c r="I310" s="199" t="s">
        <v>1193</v>
      </c>
      <c r="J310" s="199">
        <f t="shared" si="19"/>
        <v>267.39999999999998</v>
      </c>
      <c r="K310" s="199"/>
      <c r="L310" s="199"/>
      <c r="M310" s="199"/>
      <c r="N310" s="199"/>
      <c r="O310" s="199"/>
      <c r="P310" s="199"/>
      <c r="Q310" s="199"/>
    </row>
    <row r="311" spans="1:17" s="25" customFormat="1" ht="30" x14ac:dyDescent="0.25">
      <c r="A311" s="200" t="s">
        <v>22</v>
      </c>
      <c r="B311" s="201" t="s">
        <v>62</v>
      </c>
      <c r="C311" s="201">
        <v>4415</v>
      </c>
      <c r="D311" s="201"/>
      <c r="E311" s="204" t="s">
        <v>262</v>
      </c>
      <c r="F311" s="201" t="s">
        <v>39</v>
      </c>
      <c r="G311" s="203">
        <v>6</v>
      </c>
      <c r="H311" s="203">
        <v>6.35</v>
      </c>
      <c r="I311" s="203" t="s">
        <v>1193</v>
      </c>
      <c r="J311" s="203">
        <f t="shared" si="19"/>
        <v>38.099999999999994</v>
      </c>
      <c r="K311" s="203"/>
      <c r="L311" s="203"/>
      <c r="M311" s="203"/>
      <c r="N311" s="203"/>
      <c r="O311" s="203"/>
      <c r="P311" s="203"/>
      <c r="Q311" s="203"/>
    </row>
    <row r="312" spans="1:17" s="25" customFormat="1" ht="30" x14ac:dyDescent="0.25">
      <c r="A312" s="196" t="s">
        <v>22</v>
      </c>
      <c r="B312" s="197" t="s">
        <v>62</v>
      </c>
      <c r="C312" s="197">
        <v>4425</v>
      </c>
      <c r="D312" s="197"/>
      <c r="E312" s="207" t="s">
        <v>250</v>
      </c>
      <c r="F312" s="197" t="s">
        <v>39</v>
      </c>
      <c r="G312" s="199">
        <v>13.5</v>
      </c>
      <c r="H312" s="199">
        <v>35.53</v>
      </c>
      <c r="I312" s="199" t="s">
        <v>1193</v>
      </c>
      <c r="J312" s="199">
        <f t="shared" si="19"/>
        <v>479.65500000000003</v>
      </c>
      <c r="K312" s="199"/>
      <c r="L312" s="199"/>
      <c r="M312" s="199"/>
      <c r="N312" s="199"/>
      <c r="O312" s="199"/>
      <c r="P312" s="199"/>
      <c r="Q312" s="199"/>
    </row>
    <row r="313" spans="1:17" s="25" customFormat="1" ht="30" x14ac:dyDescent="0.25">
      <c r="A313" s="200" t="s">
        <v>22</v>
      </c>
      <c r="B313" s="201" t="s">
        <v>62</v>
      </c>
      <c r="C313" s="201">
        <v>4472</v>
      </c>
      <c r="D313" s="201"/>
      <c r="E313" s="204" t="s">
        <v>263</v>
      </c>
      <c r="F313" s="201" t="s">
        <v>39</v>
      </c>
      <c r="G313" s="203">
        <v>13</v>
      </c>
      <c r="H313" s="203">
        <v>44.39</v>
      </c>
      <c r="I313" s="203" t="s">
        <v>1193</v>
      </c>
      <c r="J313" s="203">
        <f t="shared" si="19"/>
        <v>577.07000000000005</v>
      </c>
      <c r="K313" s="203"/>
      <c r="L313" s="203"/>
      <c r="M313" s="203"/>
      <c r="N313" s="203"/>
      <c r="O313" s="203"/>
      <c r="P313" s="203"/>
      <c r="Q313" s="203"/>
    </row>
    <row r="314" spans="1:17" s="25" customFormat="1" x14ac:dyDescent="0.25">
      <c r="A314" s="196" t="s">
        <v>22</v>
      </c>
      <c r="B314" s="197" t="s">
        <v>62</v>
      </c>
      <c r="C314" s="197">
        <v>6193</v>
      </c>
      <c r="D314" s="197"/>
      <c r="E314" s="207" t="s">
        <v>264</v>
      </c>
      <c r="F314" s="197" t="s">
        <v>39</v>
      </c>
      <c r="G314" s="199">
        <v>3</v>
      </c>
      <c r="H314" s="199">
        <v>23.74</v>
      </c>
      <c r="I314" s="199" t="s">
        <v>1193</v>
      </c>
      <c r="J314" s="199">
        <f t="shared" si="19"/>
        <v>71.22</v>
      </c>
      <c r="K314" s="199"/>
      <c r="L314" s="199"/>
      <c r="M314" s="199"/>
      <c r="N314" s="199"/>
      <c r="O314" s="199"/>
      <c r="P314" s="199"/>
      <c r="Q314" s="199"/>
    </row>
    <row r="315" spans="1:17" s="25" customFormat="1" ht="30" x14ac:dyDescent="0.25">
      <c r="A315" s="200" t="s">
        <v>22</v>
      </c>
      <c r="B315" s="201" t="s">
        <v>62</v>
      </c>
      <c r="C315" s="201">
        <v>21142</v>
      </c>
      <c r="D315" s="201"/>
      <c r="E315" s="204" t="s">
        <v>265</v>
      </c>
      <c r="F315" s="201" t="s">
        <v>1215</v>
      </c>
      <c r="G315" s="203">
        <v>1</v>
      </c>
      <c r="H315" s="203">
        <v>24.75</v>
      </c>
      <c r="I315" s="203" t="s">
        <v>1193</v>
      </c>
      <c r="J315" s="203">
        <f t="shared" si="19"/>
        <v>24.75</v>
      </c>
      <c r="K315" s="203"/>
      <c r="L315" s="203"/>
      <c r="M315" s="203"/>
      <c r="N315" s="203"/>
      <c r="O315" s="203"/>
      <c r="P315" s="203"/>
      <c r="Q315" s="203"/>
    </row>
    <row r="316" spans="1:17" s="25" customFormat="1" x14ac:dyDescent="0.25">
      <c r="A316" s="196" t="s">
        <v>22</v>
      </c>
      <c r="B316" s="197" t="s">
        <v>62</v>
      </c>
      <c r="C316" s="197">
        <v>39027</v>
      </c>
      <c r="D316" s="197"/>
      <c r="E316" s="207" t="s">
        <v>254</v>
      </c>
      <c r="F316" s="197" t="s">
        <v>64</v>
      </c>
      <c r="G316" s="199">
        <v>3.9</v>
      </c>
      <c r="H316" s="199">
        <v>20.83</v>
      </c>
      <c r="I316" s="199" t="s">
        <v>1193</v>
      </c>
      <c r="J316" s="199">
        <f t="shared" si="19"/>
        <v>81.236999999999995</v>
      </c>
      <c r="K316" s="199"/>
      <c r="L316" s="199"/>
      <c r="M316" s="199"/>
      <c r="N316" s="199"/>
      <c r="O316" s="199"/>
      <c r="P316" s="199"/>
      <c r="Q316" s="199"/>
    </row>
    <row r="317" spans="1:17" s="25" customFormat="1" ht="30" x14ac:dyDescent="0.25">
      <c r="A317" s="200" t="s">
        <v>22</v>
      </c>
      <c r="B317" s="201" t="s">
        <v>62</v>
      </c>
      <c r="C317" s="201">
        <v>40623</v>
      </c>
      <c r="D317" s="201"/>
      <c r="E317" s="204" t="s">
        <v>266</v>
      </c>
      <c r="F317" s="201" t="s">
        <v>267</v>
      </c>
      <c r="G317" s="203">
        <v>1</v>
      </c>
      <c r="H317" s="203">
        <v>176.34</v>
      </c>
      <c r="I317" s="203" t="s">
        <v>1193</v>
      </c>
      <c r="J317" s="203">
        <f t="shared" si="19"/>
        <v>176.34</v>
      </c>
      <c r="K317" s="203"/>
      <c r="L317" s="203"/>
      <c r="M317" s="203"/>
      <c r="N317" s="203"/>
      <c r="O317" s="203"/>
      <c r="P317" s="203"/>
      <c r="Q317" s="203"/>
    </row>
    <row r="318" spans="1:17" s="25" customFormat="1" x14ac:dyDescent="0.25">
      <c r="A318" s="159"/>
      <c r="B318" s="160"/>
      <c r="C318" s="160"/>
      <c r="D318" s="160"/>
      <c r="E318" s="161"/>
      <c r="F318" s="160"/>
      <c r="G318" s="162"/>
      <c r="H318" s="162"/>
      <c r="I318" s="162" t="s">
        <v>1193</v>
      </c>
      <c r="J318" s="162"/>
      <c r="K318" s="162"/>
      <c r="L318" s="162"/>
      <c r="M318" s="162"/>
      <c r="N318" s="162"/>
      <c r="O318" s="162"/>
      <c r="P318" s="162"/>
      <c r="Q318" s="162"/>
    </row>
    <row r="319" spans="1:17" s="25" customFormat="1" ht="144.6" customHeight="1" x14ac:dyDescent="0.25">
      <c r="A319" s="149" t="s">
        <v>35</v>
      </c>
      <c r="B319" s="148"/>
      <c r="C319" s="148" t="s">
        <v>268</v>
      </c>
      <c r="D319" s="143" t="s">
        <v>269</v>
      </c>
      <c r="E319" s="144" t="s">
        <v>270</v>
      </c>
      <c r="F319" s="143" t="s">
        <v>33</v>
      </c>
      <c r="G319" s="145"/>
      <c r="H319" s="146"/>
      <c r="I319" s="146">
        <v>0.67</v>
      </c>
      <c r="J319" s="146">
        <f>SUM(J320:J324)</f>
        <v>329.69137962000008</v>
      </c>
      <c r="K319" s="146">
        <f>SUM(K320:K324)</f>
        <v>61.87058262</v>
      </c>
      <c r="L319" s="146">
        <f>J319+K319</f>
        <v>391.56196224000007</v>
      </c>
      <c r="M319" s="146">
        <f>J319*I319</f>
        <v>220.89322434540006</v>
      </c>
      <c r="N319" s="146">
        <f>K319*I319</f>
        <v>41.4532903554</v>
      </c>
      <c r="O319" s="146">
        <f>M319+N319</f>
        <v>262.34651470080007</v>
      </c>
      <c r="P319" s="146">
        <f>O319*$P$1</f>
        <v>67.318115672225304</v>
      </c>
      <c r="Q319" s="146">
        <f>P319+O319</f>
        <v>329.66463037302537</v>
      </c>
    </row>
    <row r="320" spans="1:17" s="25" customFormat="1" x14ac:dyDescent="0.25">
      <c r="A320" s="196" t="s">
        <v>22</v>
      </c>
      <c r="B320" s="197" t="s">
        <v>27</v>
      </c>
      <c r="C320" s="197">
        <v>88239</v>
      </c>
      <c r="D320" s="197"/>
      <c r="E320" s="198" t="s">
        <v>168</v>
      </c>
      <c r="F320" s="197" t="s">
        <v>29</v>
      </c>
      <c r="G320" s="199">
        <v>1.98</v>
      </c>
      <c r="H320" s="199">
        <v>18.829999999999998</v>
      </c>
      <c r="I320" s="199" t="s">
        <v>1193</v>
      </c>
      <c r="J320" s="199">
        <f>0.3021*H320*G320</f>
        <v>11.263315139999998</v>
      </c>
      <c r="K320" s="199">
        <f>0.6978*H320*G320</f>
        <v>26.016356519999995</v>
      </c>
      <c r="L320" s="199"/>
      <c r="M320" s="199"/>
      <c r="N320" s="199"/>
      <c r="O320" s="199"/>
      <c r="P320" s="199"/>
      <c r="Q320" s="199"/>
    </row>
    <row r="321" spans="1:18" s="25" customFormat="1" x14ac:dyDescent="0.25">
      <c r="A321" s="200" t="s">
        <v>22</v>
      </c>
      <c r="B321" s="201" t="s">
        <v>27</v>
      </c>
      <c r="C321" s="201">
        <v>88262</v>
      </c>
      <c r="D321" s="201"/>
      <c r="E321" s="202" t="s">
        <v>258</v>
      </c>
      <c r="F321" s="201" t="s">
        <v>29</v>
      </c>
      <c r="G321" s="203">
        <v>1.98</v>
      </c>
      <c r="H321" s="199">
        <v>24.29</v>
      </c>
      <c r="I321" s="203" t="s">
        <v>1193</v>
      </c>
      <c r="J321" s="203">
        <f>H321*G321*0.2544</f>
        <v>12.235164480000002</v>
      </c>
      <c r="K321" s="203">
        <f>0.7455*H321*G321</f>
        <v>35.854226100000005</v>
      </c>
      <c r="L321" s="203"/>
      <c r="M321" s="203"/>
      <c r="N321" s="203"/>
      <c r="O321" s="203"/>
      <c r="P321" s="203"/>
      <c r="Q321" s="203"/>
    </row>
    <row r="322" spans="1:18" s="25" customFormat="1" x14ac:dyDescent="0.25">
      <c r="A322" s="196" t="s">
        <v>35</v>
      </c>
      <c r="B322" s="197" t="s">
        <v>62</v>
      </c>
      <c r="C322" s="227">
        <v>9103000063</v>
      </c>
      <c r="D322" s="197"/>
      <c r="E322" s="335" t="s">
        <v>271</v>
      </c>
      <c r="F322" s="197" t="s">
        <v>113</v>
      </c>
      <c r="G322" s="199">
        <v>3.5000000000000003E-2</v>
      </c>
      <c r="H322" s="199">
        <v>7850.26</v>
      </c>
      <c r="I322" s="199" t="s">
        <v>1193</v>
      </c>
      <c r="J322" s="199">
        <f t="shared" ref="J322:J324" si="20">H322*G322</f>
        <v>274.75910000000005</v>
      </c>
      <c r="K322" s="199"/>
      <c r="L322" s="199"/>
      <c r="M322" s="199"/>
      <c r="N322" s="199"/>
      <c r="O322" s="199"/>
      <c r="P322" s="199"/>
      <c r="Q322" s="199"/>
    </row>
    <row r="323" spans="1:18" s="25" customFormat="1" x14ac:dyDescent="0.25">
      <c r="A323" s="200" t="s">
        <v>35</v>
      </c>
      <c r="B323" s="201" t="s">
        <v>62</v>
      </c>
      <c r="C323" s="228">
        <v>9103000063</v>
      </c>
      <c r="D323" s="201"/>
      <c r="E323" s="202" t="s">
        <v>272</v>
      </c>
      <c r="F323" s="201" t="s">
        <v>64</v>
      </c>
      <c r="G323" s="203">
        <v>0.45</v>
      </c>
      <c r="H323" s="203">
        <v>58.54</v>
      </c>
      <c r="I323" s="203" t="s">
        <v>1193</v>
      </c>
      <c r="J323" s="203">
        <f t="shared" si="20"/>
        <v>26.343</v>
      </c>
      <c r="K323" s="203"/>
      <c r="L323" s="203"/>
      <c r="M323" s="203"/>
      <c r="N323" s="203"/>
      <c r="O323" s="203"/>
      <c r="P323" s="203"/>
      <c r="Q323" s="203"/>
    </row>
    <row r="324" spans="1:18" s="25" customFormat="1" x14ac:dyDescent="0.25">
      <c r="A324" s="196" t="s">
        <v>35</v>
      </c>
      <c r="B324" s="197" t="s">
        <v>62</v>
      </c>
      <c r="C324" s="227">
        <v>9103000063</v>
      </c>
      <c r="D324" s="197"/>
      <c r="E324" s="198" t="s">
        <v>273</v>
      </c>
      <c r="F324" s="197" t="s">
        <v>64</v>
      </c>
      <c r="G324" s="199">
        <v>0.22</v>
      </c>
      <c r="H324" s="199">
        <v>23.14</v>
      </c>
      <c r="I324" s="199" t="s">
        <v>1193</v>
      </c>
      <c r="J324" s="199">
        <f t="shared" si="20"/>
        <v>5.0907999999999998</v>
      </c>
      <c r="K324" s="199"/>
      <c r="L324" s="199"/>
      <c r="M324" s="199"/>
      <c r="N324" s="199"/>
      <c r="O324" s="199"/>
      <c r="P324" s="199"/>
      <c r="Q324" s="199"/>
    </row>
    <row r="325" spans="1:18" s="25" customFormat="1" x14ac:dyDescent="0.25">
      <c r="A325" s="163"/>
      <c r="B325" s="101"/>
      <c r="C325" s="101"/>
      <c r="D325" s="101"/>
      <c r="E325" s="102"/>
      <c r="F325" s="101"/>
      <c r="G325" s="96"/>
      <c r="H325" s="96"/>
      <c r="I325" s="96" t="s">
        <v>1193</v>
      </c>
      <c r="J325" s="96"/>
      <c r="K325" s="96"/>
      <c r="L325" s="96"/>
      <c r="M325" s="96"/>
      <c r="N325" s="96"/>
      <c r="O325" s="96"/>
      <c r="P325" s="96"/>
      <c r="Q325" s="96"/>
    </row>
    <row r="326" spans="1:18" s="189" customFormat="1" ht="15.75" x14ac:dyDescent="0.25">
      <c r="A326" s="183"/>
      <c r="B326" s="184"/>
      <c r="C326" s="184"/>
      <c r="D326" s="185"/>
      <c r="E326" s="186" t="s">
        <v>274</v>
      </c>
      <c r="F326" s="185"/>
      <c r="G326" s="187"/>
      <c r="H326" s="188"/>
      <c r="I326" s="187" t="s">
        <v>1193</v>
      </c>
      <c r="J326" s="187"/>
      <c r="K326" s="187"/>
      <c r="L326" s="187"/>
      <c r="M326" s="187"/>
      <c r="N326" s="187"/>
      <c r="O326" s="187"/>
      <c r="P326" s="188"/>
      <c r="Q326" s="188"/>
      <c r="R326" s="25"/>
    </row>
    <row r="327" spans="1:18" s="25" customFormat="1" ht="52.9" customHeight="1" x14ac:dyDescent="0.25">
      <c r="A327" s="149" t="s">
        <v>22</v>
      </c>
      <c r="B327" s="148"/>
      <c r="C327" s="148">
        <v>94441</v>
      </c>
      <c r="D327" s="143" t="s">
        <v>275</v>
      </c>
      <c r="E327" s="144" t="s">
        <v>276</v>
      </c>
      <c r="F327" s="143" t="s">
        <v>33</v>
      </c>
      <c r="G327" s="146"/>
      <c r="H327" s="146"/>
      <c r="I327" s="146">
        <v>0.67</v>
      </c>
      <c r="J327" s="146">
        <f>SUM(J328:J332)</f>
        <v>28.596720606199998</v>
      </c>
      <c r="K327" s="146">
        <f>SUM(K328:K332)</f>
        <v>7.672130941799999</v>
      </c>
      <c r="L327" s="146">
        <f>J327+K327</f>
        <v>36.268851548000001</v>
      </c>
      <c r="M327" s="146">
        <f>J327*I327</f>
        <v>19.159802806154001</v>
      </c>
      <c r="N327" s="146">
        <f>K327*I327</f>
        <v>5.1403277310059998</v>
      </c>
      <c r="O327" s="146">
        <f>M327+N327</f>
        <v>24.300130537160001</v>
      </c>
      <c r="P327" s="146">
        <f>O327*$P$1</f>
        <v>6.2354134958352558</v>
      </c>
      <c r="Q327" s="146">
        <f>P327+O327</f>
        <v>30.535544032995258</v>
      </c>
    </row>
    <row r="328" spans="1:18" s="25" customFormat="1" x14ac:dyDescent="0.25">
      <c r="A328" s="196" t="s">
        <v>22</v>
      </c>
      <c r="B328" s="197" t="s">
        <v>27</v>
      </c>
      <c r="C328" s="197">
        <v>88323</v>
      </c>
      <c r="D328" s="197"/>
      <c r="E328" s="207" t="s">
        <v>53</v>
      </c>
      <c r="F328" s="197" t="s">
        <v>29</v>
      </c>
      <c r="G328" s="199">
        <v>0.153</v>
      </c>
      <c r="H328" s="199">
        <v>22.84</v>
      </c>
      <c r="I328" s="199" t="s">
        <v>1193</v>
      </c>
      <c r="J328" s="199">
        <f>0.27*H328*G328</f>
        <v>0.94352040000000004</v>
      </c>
      <c r="K328" s="199">
        <f>0.7299*H328*G328</f>
        <v>2.5506501479999999</v>
      </c>
      <c r="L328" s="199"/>
      <c r="M328" s="199"/>
      <c r="N328" s="199"/>
      <c r="O328" s="199"/>
      <c r="P328" s="199"/>
      <c r="Q328" s="199"/>
    </row>
    <row r="329" spans="1:18" s="25" customFormat="1" x14ac:dyDescent="0.25">
      <c r="A329" s="200" t="s">
        <v>22</v>
      </c>
      <c r="B329" s="201" t="s">
        <v>27</v>
      </c>
      <c r="C329" s="201">
        <v>88316</v>
      </c>
      <c r="D329" s="201"/>
      <c r="E329" s="204" t="s">
        <v>30</v>
      </c>
      <c r="F329" s="201" t="s">
        <v>29</v>
      </c>
      <c r="G329" s="203">
        <v>0.32500000000000001</v>
      </c>
      <c r="H329" s="203">
        <v>18.899999999999999</v>
      </c>
      <c r="I329" s="203" t="s">
        <v>1193</v>
      </c>
      <c r="J329" s="203">
        <f>0.3242*H329*G329</f>
        <v>1.9913984999999998</v>
      </c>
      <c r="K329" s="203">
        <f>0.6758*H329*G329</f>
        <v>4.1511014999999993</v>
      </c>
      <c r="L329" s="203"/>
      <c r="M329" s="203"/>
      <c r="N329" s="203"/>
      <c r="O329" s="203"/>
      <c r="P329" s="203"/>
      <c r="Q329" s="203"/>
    </row>
    <row r="330" spans="1:18" s="25" customFormat="1" ht="30" x14ac:dyDescent="0.25">
      <c r="A330" s="196" t="s">
        <v>22</v>
      </c>
      <c r="B330" s="197" t="s">
        <v>27</v>
      </c>
      <c r="C330" s="197">
        <v>93281</v>
      </c>
      <c r="D330" s="197"/>
      <c r="E330" s="207" t="s">
        <v>247</v>
      </c>
      <c r="F330" s="197" t="s">
        <v>121</v>
      </c>
      <c r="G330" s="199">
        <v>2.4E-2</v>
      </c>
      <c r="H330" s="199">
        <v>22.34</v>
      </c>
      <c r="I330" s="199" t="s">
        <v>1193</v>
      </c>
      <c r="J330" s="199">
        <f>0.2193*G330*H330</f>
        <v>0.11757988799999999</v>
      </c>
      <c r="K330" s="199">
        <f>(1-0.2193)*G330*H330</f>
        <v>0.41858011199999995</v>
      </c>
      <c r="L330" s="199"/>
      <c r="M330" s="199"/>
      <c r="N330" s="199"/>
      <c r="O330" s="199"/>
      <c r="P330" s="199"/>
      <c r="Q330" s="199"/>
    </row>
    <row r="331" spans="1:18" s="25" customFormat="1" ht="30" x14ac:dyDescent="0.25">
      <c r="A331" s="200" t="s">
        <v>22</v>
      </c>
      <c r="B331" s="201" t="s">
        <v>27</v>
      </c>
      <c r="C331" s="201">
        <v>93282</v>
      </c>
      <c r="D331" s="201"/>
      <c r="E331" s="204" t="s">
        <v>248</v>
      </c>
      <c r="F331" s="201" t="s">
        <v>122</v>
      </c>
      <c r="G331" s="203">
        <v>3.3300000000000003E-2</v>
      </c>
      <c r="H331" s="203">
        <v>21.47</v>
      </c>
      <c r="I331" s="203" t="s">
        <v>1193</v>
      </c>
      <c r="J331" s="203">
        <f>0.2282*G331*H331</f>
        <v>0.16315181819999999</v>
      </c>
      <c r="K331" s="203">
        <f>(1-0.2282)*G331*H331</f>
        <v>0.55179918180000009</v>
      </c>
      <c r="L331" s="203"/>
      <c r="M331" s="203"/>
      <c r="N331" s="203"/>
      <c r="O331" s="203"/>
      <c r="P331" s="203"/>
      <c r="Q331" s="203"/>
    </row>
    <row r="332" spans="1:18" s="25" customFormat="1" ht="30" x14ac:dyDescent="0.25">
      <c r="A332" s="196" t="s">
        <v>22</v>
      </c>
      <c r="B332" s="197" t="s">
        <v>62</v>
      </c>
      <c r="C332" s="197">
        <v>7175</v>
      </c>
      <c r="D332" s="197"/>
      <c r="E332" s="207" t="s">
        <v>277</v>
      </c>
      <c r="F332" s="197" t="s">
        <v>1215</v>
      </c>
      <c r="G332" s="199">
        <v>17.748999999999999</v>
      </c>
      <c r="H332" s="199">
        <v>1.43</v>
      </c>
      <c r="I332" s="199" t="s">
        <v>1193</v>
      </c>
      <c r="J332" s="199">
        <f>H332*G332</f>
        <v>25.381069999999998</v>
      </c>
      <c r="K332" s="199"/>
      <c r="L332" s="199"/>
      <c r="M332" s="199"/>
      <c r="N332" s="199"/>
      <c r="O332" s="199"/>
      <c r="P332" s="199"/>
      <c r="Q332" s="199"/>
    </row>
    <row r="333" spans="1:18" s="25" customFormat="1" x14ac:dyDescent="0.25">
      <c r="A333" s="163"/>
      <c r="B333" s="101"/>
      <c r="C333" s="101"/>
      <c r="D333" s="101"/>
      <c r="E333" s="102"/>
      <c r="F333" s="101"/>
      <c r="G333" s="96"/>
      <c r="H333" s="96"/>
      <c r="I333" s="96" t="s">
        <v>1193</v>
      </c>
      <c r="J333" s="96"/>
      <c r="K333" s="96"/>
      <c r="L333" s="96"/>
      <c r="M333" s="96"/>
      <c r="N333" s="96"/>
      <c r="O333" s="96"/>
      <c r="P333" s="96"/>
      <c r="Q333" s="96"/>
    </row>
    <row r="334" spans="1:18" s="25" customFormat="1" ht="87" customHeight="1" x14ac:dyDescent="0.25">
      <c r="A334" s="149" t="s">
        <v>22</v>
      </c>
      <c r="B334" s="148"/>
      <c r="C334" s="148">
        <v>94210</v>
      </c>
      <c r="D334" s="143" t="s">
        <v>278</v>
      </c>
      <c r="E334" s="144" t="s">
        <v>279</v>
      </c>
      <c r="F334" s="143" t="s">
        <v>33</v>
      </c>
      <c r="G334" s="146"/>
      <c r="H334" s="146"/>
      <c r="I334" s="146">
        <v>0.67</v>
      </c>
      <c r="J334" s="146">
        <f>SUM(J335:J341)</f>
        <v>42.858877409599998</v>
      </c>
      <c r="K334" s="146">
        <f>SUM(K335:K341)</f>
        <v>4.4575042384000003</v>
      </c>
      <c r="L334" s="146">
        <f>J334+K334</f>
        <v>47.316381647999997</v>
      </c>
      <c r="M334" s="146">
        <f>J334*I334</f>
        <v>28.715447864432001</v>
      </c>
      <c r="N334" s="146">
        <f>K334*I334</f>
        <v>2.9865278397280002</v>
      </c>
      <c r="O334" s="146">
        <f>M334+N334</f>
        <v>31.701975704160002</v>
      </c>
      <c r="P334" s="146">
        <f>O334*$P$1</f>
        <v>8.1347269656874559</v>
      </c>
      <c r="Q334" s="146">
        <f>P334+O334</f>
        <v>39.836702669847455</v>
      </c>
    </row>
    <row r="335" spans="1:18" s="25" customFormat="1" ht="24" customHeight="1" x14ac:dyDescent="0.25">
      <c r="A335" s="200" t="s">
        <v>22</v>
      </c>
      <c r="B335" s="201" t="s">
        <v>27</v>
      </c>
      <c r="C335" s="201">
        <v>88323</v>
      </c>
      <c r="D335" s="201"/>
      <c r="E335" s="204" t="s">
        <v>53</v>
      </c>
      <c r="F335" s="201" t="s">
        <v>29</v>
      </c>
      <c r="G335" s="203">
        <v>0.128</v>
      </c>
      <c r="H335" s="203">
        <v>22.84</v>
      </c>
      <c r="I335" s="203" t="s">
        <v>1193</v>
      </c>
      <c r="J335" s="203">
        <f>0.27*H335*G335</f>
        <v>0.78935040000000001</v>
      </c>
      <c r="K335" s="203">
        <f>0.7299*H335*G335</f>
        <v>2.1338772479999997</v>
      </c>
      <c r="L335" s="203"/>
      <c r="M335" s="203"/>
      <c r="N335" s="203"/>
      <c r="O335" s="203"/>
      <c r="P335" s="203"/>
      <c r="Q335" s="203"/>
    </row>
    <row r="336" spans="1:18" s="25" customFormat="1" ht="23.45" customHeight="1" x14ac:dyDescent="0.25">
      <c r="A336" s="196" t="s">
        <v>22</v>
      </c>
      <c r="B336" s="197" t="s">
        <v>27</v>
      </c>
      <c r="C336" s="197">
        <v>88316</v>
      </c>
      <c r="D336" s="197"/>
      <c r="E336" s="207" t="s">
        <v>30</v>
      </c>
      <c r="F336" s="197" t="s">
        <v>29</v>
      </c>
      <c r="G336" s="199">
        <v>0.16600000000000001</v>
      </c>
      <c r="H336" s="203">
        <v>18.899999999999999</v>
      </c>
      <c r="I336" s="199" t="s">
        <v>1193</v>
      </c>
      <c r="J336" s="199">
        <f>0.3242*H336*G336</f>
        <v>1.0171450799999999</v>
      </c>
      <c r="K336" s="199">
        <f>0.6758*H336*G336</f>
        <v>2.1202549199999998</v>
      </c>
      <c r="L336" s="199"/>
      <c r="M336" s="199"/>
      <c r="N336" s="199"/>
      <c r="O336" s="199"/>
      <c r="P336" s="199"/>
      <c r="Q336" s="199"/>
    </row>
    <row r="337" spans="1:17" s="25" customFormat="1" ht="30" x14ac:dyDescent="0.25">
      <c r="A337" s="200" t="s">
        <v>22</v>
      </c>
      <c r="B337" s="201" t="s">
        <v>27</v>
      </c>
      <c r="C337" s="201">
        <v>93281</v>
      </c>
      <c r="D337" s="201"/>
      <c r="E337" s="204" t="s">
        <v>247</v>
      </c>
      <c r="F337" s="201" t="s">
        <v>121</v>
      </c>
      <c r="G337" s="203">
        <v>5.1999999999999998E-3</v>
      </c>
      <c r="H337" s="203">
        <v>22.34</v>
      </c>
      <c r="I337" s="203" t="s">
        <v>1193</v>
      </c>
      <c r="J337" s="203">
        <f>0.2193*G337*H337</f>
        <v>2.5475642399999998E-2</v>
      </c>
      <c r="K337" s="203">
        <f>(1-0.2193)*G337*H337</f>
        <v>9.0692357599999995E-2</v>
      </c>
      <c r="L337" s="203"/>
      <c r="M337" s="203"/>
      <c r="N337" s="203"/>
      <c r="O337" s="203"/>
      <c r="P337" s="203"/>
      <c r="Q337" s="203"/>
    </row>
    <row r="338" spans="1:17" s="25" customFormat="1" ht="30" x14ac:dyDescent="0.25">
      <c r="A338" s="196" t="s">
        <v>22</v>
      </c>
      <c r="B338" s="197" t="s">
        <v>27</v>
      </c>
      <c r="C338" s="197">
        <v>93282</v>
      </c>
      <c r="D338" s="197"/>
      <c r="E338" s="207" t="s">
        <v>248</v>
      </c>
      <c r="F338" s="197" t="s">
        <v>122</v>
      </c>
      <c r="G338" s="199">
        <v>6.7999999999999996E-3</v>
      </c>
      <c r="H338" s="199">
        <v>21.47</v>
      </c>
      <c r="I338" s="199" t="s">
        <v>1193</v>
      </c>
      <c r="J338" s="199">
        <f>0.2282*G338*H338</f>
        <v>3.3316287199999996E-2</v>
      </c>
      <c r="K338" s="199">
        <f>(1-0.2282)*G338*H338</f>
        <v>0.1126797128</v>
      </c>
      <c r="L338" s="199"/>
      <c r="M338" s="199"/>
      <c r="N338" s="199"/>
      <c r="O338" s="199"/>
      <c r="P338" s="199"/>
      <c r="Q338" s="199"/>
    </row>
    <row r="339" spans="1:17" s="25" customFormat="1" ht="30" x14ac:dyDescent="0.25">
      <c r="A339" s="200" t="s">
        <v>22</v>
      </c>
      <c r="B339" s="201" t="s">
        <v>62</v>
      </c>
      <c r="C339" s="201">
        <v>1607</v>
      </c>
      <c r="D339" s="201"/>
      <c r="E339" s="204" t="s">
        <v>280</v>
      </c>
      <c r="F339" s="201" t="s">
        <v>1215</v>
      </c>
      <c r="G339" s="203">
        <v>1.26</v>
      </c>
      <c r="H339" s="203">
        <v>0.17</v>
      </c>
      <c r="I339" s="203" t="s">
        <v>1193</v>
      </c>
      <c r="J339" s="203">
        <f t="shared" ref="J339:J341" si="21">H339*G339</f>
        <v>0.21420000000000003</v>
      </c>
      <c r="K339" s="203"/>
      <c r="L339" s="203"/>
      <c r="M339" s="203"/>
      <c r="N339" s="203"/>
      <c r="O339" s="203"/>
      <c r="P339" s="203"/>
      <c r="Q339" s="203"/>
    </row>
    <row r="340" spans="1:17" s="25" customFormat="1" ht="30" x14ac:dyDescent="0.25">
      <c r="A340" s="196" t="s">
        <v>22</v>
      </c>
      <c r="B340" s="197" t="s">
        <v>62</v>
      </c>
      <c r="C340" s="197">
        <v>4302</v>
      </c>
      <c r="D340" s="197"/>
      <c r="E340" s="207" t="s">
        <v>281</v>
      </c>
      <c r="F340" s="197" t="s">
        <v>1215</v>
      </c>
      <c r="G340" s="199">
        <v>1.258</v>
      </c>
      <c r="H340" s="199">
        <v>3</v>
      </c>
      <c r="I340" s="199" t="s">
        <v>1193</v>
      </c>
      <c r="J340" s="199">
        <f t="shared" si="21"/>
        <v>3.774</v>
      </c>
      <c r="K340" s="199"/>
      <c r="L340" s="199"/>
      <c r="M340" s="199"/>
      <c r="N340" s="199"/>
      <c r="O340" s="199"/>
      <c r="P340" s="199"/>
      <c r="Q340" s="199"/>
    </row>
    <row r="341" spans="1:17" s="25" customFormat="1" x14ac:dyDescent="0.25">
      <c r="A341" s="200" t="s">
        <v>22</v>
      </c>
      <c r="B341" s="201" t="s">
        <v>62</v>
      </c>
      <c r="C341" s="201">
        <v>7194</v>
      </c>
      <c r="D341" s="201"/>
      <c r="E341" s="204" t="s">
        <v>282</v>
      </c>
      <c r="F341" s="201" t="s">
        <v>33</v>
      </c>
      <c r="G341" s="203">
        <v>1.357</v>
      </c>
      <c r="H341" s="203">
        <v>27.27</v>
      </c>
      <c r="I341" s="203" t="s">
        <v>1193</v>
      </c>
      <c r="J341" s="203">
        <f t="shared" si="21"/>
        <v>37.005389999999998</v>
      </c>
      <c r="K341" s="203"/>
      <c r="L341" s="203"/>
      <c r="M341" s="203"/>
      <c r="N341" s="203"/>
      <c r="O341" s="203"/>
      <c r="P341" s="203"/>
      <c r="Q341" s="203"/>
    </row>
    <row r="342" spans="1:17" s="25" customFormat="1" x14ac:dyDescent="0.25">
      <c r="A342" s="159"/>
      <c r="B342" s="160"/>
      <c r="C342" s="160"/>
      <c r="D342" s="160"/>
      <c r="E342" s="161"/>
      <c r="F342" s="160"/>
      <c r="G342" s="162"/>
      <c r="H342" s="162"/>
      <c r="I342" s="162" t="s">
        <v>1193</v>
      </c>
      <c r="J342" s="162"/>
      <c r="K342" s="162"/>
      <c r="L342" s="162"/>
      <c r="M342" s="162"/>
      <c r="N342" s="162"/>
      <c r="O342" s="162"/>
      <c r="P342" s="162"/>
      <c r="Q342" s="162"/>
    </row>
    <row r="343" spans="1:17" s="25" customFormat="1" ht="66" customHeight="1" x14ac:dyDescent="0.25">
      <c r="A343" s="149" t="s">
        <v>22</v>
      </c>
      <c r="B343" s="148"/>
      <c r="C343" s="143" t="s">
        <v>1199</v>
      </c>
      <c r="D343" s="143" t="s">
        <v>283</v>
      </c>
      <c r="E343" s="144" t="s">
        <v>1200</v>
      </c>
      <c r="F343" s="143" t="s">
        <v>33</v>
      </c>
      <c r="G343" s="146" t="s">
        <v>1193</v>
      </c>
      <c r="H343" s="146"/>
      <c r="I343" s="146">
        <v>0.67</v>
      </c>
      <c r="J343" s="146">
        <f>SUM(J344:J349)</f>
        <v>23.752407600000002</v>
      </c>
      <c r="K343" s="146">
        <f>SUM(K344:K349)</f>
        <v>3.0913822898999999</v>
      </c>
      <c r="L343" s="146">
        <f>J343+K343</f>
        <v>26.843789889900002</v>
      </c>
      <c r="M343" s="146">
        <f>J343*I343</f>
        <v>15.914113092000003</v>
      </c>
      <c r="N343" s="146">
        <f>K343*I343</f>
        <v>2.0712261342330001</v>
      </c>
      <c r="O343" s="146">
        <f>M343+N343</f>
        <v>17.985339226233002</v>
      </c>
      <c r="P343" s="146">
        <f>O343*$P$1</f>
        <v>4.6150380454513877</v>
      </c>
      <c r="Q343" s="146">
        <f>P343+O343</f>
        <v>22.60037727168439</v>
      </c>
    </row>
    <row r="344" spans="1:17" s="25" customFormat="1" ht="30" x14ac:dyDescent="0.25">
      <c r="A344" s="196" t="s">
        <v>22</v>
      </c>
      <c r="B344" s="197" t="s">
        <v>62</v>
      </c>
      <c r="C344" s="197">
        <v>7243</v>
      </c>
      <c r="D344" s="197"/>
      <c r="E344" s="207" t="s">
        <v>1201</v>
      </c>
      <c r="F344" s="197" t="s">
        <v>1192</v>
      </c>
      <c r="G344" s="199" t="s">
        <v>1202</v>
      </c>
      <c r="H344" s="199">
        <v>70.180000000000007</v>
      </c>
      <c r="I344" s="199" t="s">
        <v>1193</v>
      </c>
      <c r="J344" s="199">
        <f>0.27*H344*G344</f>
        <v>22.094067600000002</v>
      </c>
      <c r="K344" s="199"/>
      <c r="L344" s="199"/>
      <c r="M344" s="199"/>
      <c r="N344" s="199"/>
      <c r="O344" s="199"/>
      <c r="P344" s="199"/>
      <c r="Q344" s="199"/>
    </row>
    <row r="345" spans="1:17" s="25" customFormat="1" ht="30" x14ac:dyDescent="0.25">
      <c r="A345" s="196" t="s">
        <v>22</v>
      </c>
      <c r="B345" s="197" t="s">
        <v>62</v>
      </c>
      <c r="C345" s="197">
        <v>11029</v>
      </c>
      <c r="D345" s="197"/>
      <c r="E345" s="207" t="s">
        <v>1194</v>
      </c>
      <c r="F345" s="197" t="s">
        <v>1215</v>
      </c>
      <c r="G345" s="199" t="s">
        <v>1195</v>
      </c>
      <c r="H345" s="199">
        <v>1.48</v>
      </c>
      <c r="I345" s="199" t="s">
        <v>1193</v>
      </c>
      <c r="J345" s="199">
        <f t="shared" ref="J345" si="22">0.27*H345*G345</f>
        <v>1.6583400000000001</v>
      </c>
      <c r="K345" s="199"/>
      <c r="L345" s="199"/>
      <c r="M345" s="199"/>
      <c r="N345" s="199"/>
      <c r="O345" s="199"/>
      <c r="P345" s="199"/>
      <c r="Q345" s="199"/>
    </row>
    <row r="346" spans="1:17" s="25" customFormat="1" x14ac:dyDescent="0.25">
      <c r="A346" s="196" t="s">
        <v>22</v>
      </c>
      <c r="B346" s="197" t="s">
        <v>1177</v>
      </c>
      <c r="C346" s="197" t="s">
        <v>1180</v>
      </c>
      <c r="D346" s="197"/>
      <c r="E346" s="207" t="s">
        <v>1181</v>
      </c>
      <c r="F346" s="197" t="s">
        <v>438</v>
      </c>
      <c r="G346" s="199" t="s">
        <v>1203</v>
      </c>
      <c r="H346" s="203">
        <v>18.899999999999999</v>
      </c>
      <c r="I346" s="199" t="s">
        <v>1193</v>
      </c>
      <c r="J346" s="199"/>
      <c r="K346" s="199">
        <f>(1-0.2193)*G346*H346</f>
        <v>1.4312573099999999</v>
      </c>
      <c r="L346" s="199"/>
      <c r="M346" s="199"/>
      <c r="N346" s="199"/>
      <c r="O346" s="199"/>
      <c r="P346" s="199"/>
      <c r="Q346" s="199"/>
    </row>
    <row r="347" spans="1:17" s="25" customFormat="1" x14ac:dyDescent="0.25">
      <c r="A347" s="196" t="s">
        <v>22</v>
      </c>
      <c r="B347" s="197" t="s">
        <v>1177</v>
      </c>
      <c r="C347" s="197" t="s">
        <v>1196</v>
      </c>
      <c r="D347" s="197"/>
      <c r="E347" s="207" t="s">
        <v>1197</v>
      </c>
      <c r="F347" s="197" t="s">
        <v>438</v>
      </c>
      <c r="G347" s="199" t="s">
        <v>1204</v>
      </c>
      <c r="H347" s="203">
        <v>22.84</v>
      </c>
      <c r="I347" s="199" t="s">
        <v>1193</v>
      </c>
      <c r="J347" s="199"/>
      <c r="K347" s="199">
        <f t="shared" ref="K347:K348" si="23">(1-0.2193)*G347*H347</f>
        <v>1.6226381079999996</v>
      </c>
      <c r="L347" s="199"/>
      <c r="M347" s="199"/>
      <c r="N347" s="199"/>
      <c r="O347" s="199"/>
      <c r="P347" s="199"/>
      <c r="Q347" s="199"/>
    </row>
    <row r="348" spans="1:17" s="25" customFormat="1" ht="30" x14ac:dyDescent="0.25">
      <c r="A348" s="196" t="s">
        <v>22</v>
      </c>
      <c r="B348" s="197" t="s">
        <v>1177</v>
      </c>
      <c r="C348" s="197" t="s">
        <v>1183</v>
      </c>
      <c r="D348" s="197"/>
      <c r="E348" s="207" t="s">
        <v>1184</v>
      </c>
      <c r="F348" s="197" t="s">
        <v>285</v>
      </c>
      <c r="G348" s="199" t="s">
        <v>1198</v>
      </c>
      <c r="H348" s="199">
        <v>22.34</v>
      </c>
      <c r="I348" s="199" t="s">
        <v>1193</v>
      </c>
      <c r="J348" s="199"/>
      <c r="K348" s="199">
        <f t="shared" si="23"/>
        <v>1.5696754199999999E-2</v>
      </c>
      <c r="L348" s="199"/>
      <c r="M348" s="199"/>
      <c r="N348" s="199"/>
      <c r="O348" s="199"/>
      <c r="P348" s="199"/>
      <c r="Q348" s="199"/>
    </row>
    <row r="349" spans="1:17" s="25" customFormat="1" ht="30" x14ac:dyDescent="0.25">
      <c r="A349" s="196" t="s">
        <v>22</v>
      </c>
      <c r="B349" s="197" t="s">
        <v>1177</v>
      </c>
      <c r="C349" s="197" t="s">
        <v>1186</v>
      </c>
      <c r="D349" s="197"/>
      <c r="E349" s="207" t="s">
        <v>1187</v>
      </c>
      <c r="F349" s="197" t="s">
        <v>286</v>
      </c>
      <c r="G349" s="199" t="s">
        <v>1205</v>
      </c>
      <c r="H349" s="203">
        <v>21.47</v>
      </c>
      <c r="I349" s="199" t="s">
        <v>1193</v>
      </c>
      <c r="J349" s="199"/>
      <c r="K349" s="199">
        <f>(1-0.2193)*G349*H349</f>
        <v>2.1790117699999997E-2</v>
      </c>
      <c r="L349" s="199"/>
      <c r="M349" s="199"/>
      <c r="N349" s="199"/>
      <c r="O349" s="199"/>
      <c r="P349" s="199"/>
      <c r="Q349" s="199"/>
    </row>
    <row r="350" spans="1:17" s="25" customFormat="1" x14ac:dyDescent="0.25">
      <c r="A350" s="159"/>
      <c r="B350" s="160"/>
      <c r="C350" s="160"/>
      <c r="D350" s="160"/>
      <c r="E350" s="161"/>
      <c r="F350" s="160"/>
      <c r="G350" s="162"/>
      <c r="H350" s="162"/>
      <c r="I350" s="162" t="s">
        <v>1193</v>
      </c>
      <c r="J350" s="162"/>
      <c r="K350" s="162"/>
      <c r="L350" s="162"/>
      <c r="M350" s="162"/>
      <c r="N350" s="162"/>
      <c r="O350" s="162"/>
      <c r="P350" s="162"/>
      <c r="Q350" s="162"/>
    </row>
    <row r="351" spans="1:17" s="25" customFormat="1" ht="41.45" customHeight="1" x14ac:dyDescent="0.25">
      <c r="A351" s="149" t="s">
        <v>22</v>
      </c>
      <c r="B351" s="148"/>
      <c r="C351" s="148">
        <v>94231</v>
      </c>
      <c r="D351" s="143" t="s">
        <v>293</v>
      </c>
      <c r="E351" s="144" t="s">
        <v>284</v>
      </c>
      <c r="F351" s="143" t="s">
        <v>39</v>
      </c>
      <c r="G351" s="146"/>
      <c r="H351" s="146"/>
      <c r="I351" s="146">
        <v>0.67</v>
      </c>
      <c r="J351" s="146">
        <f>SUM(J352:J360)</f>
        <v>61.540730826600004</v>
      </c>
      <c r="K351" s="146">
        <f>SUM(K352:K360)</f>
        <v>5.0317623653999988</v>
      </c>
      <c r="L351" s="146">
        <f>J351+K351</f>
        <v>66.572493191999996</v>
      </c>
      <c r="M351" s="146">
        <f>J351*I351</f>
        <v>41.232289653822008</v>
      </c>
      <c r="N351" s="146">
        <f>K351*I351</f>
        <v>3.3712807848179995</v>
      </c>
      <c r="O351" s="146">
        <f>M351+N351</f>
        <v>44.603570438640006</v>
      </c>
      <c r="P351" s="146">
        <f>O351*$P$1</f>
        <v>11.445276174555024</v>
      </c>
      <c r="Q351" s="146">
        <f>P351+O351</f>
        <v>56.048846613195032</v>
      </c>
    </row>
    <row r="352" spans="1:17" s="25" customFormat="1" x14ac:dyDescent="0.25">
      <c r="A352" s="196" t="s">
        <v>22</v>
      </c>
      <c r="B352" s="197" t="s">
        <v>27</v>
      </c>
      <c r="C352" s="197">
        <v>88323</v>
      </c>
      <c r="D352" s="197"/>
      <c r="E352" s="207" t="s">
        <v>53</v>
      </c>
      <c r="F352" s="197" t="s">
        <v>29</v>
      </c>
      <c r="G352" s="199">
        <v>0.112</v>
      </c>
      <c r="H352" s="199">
        <v>22.84</v>
      </c>
      <c r="I352" s="199" t="s">
        <v>1193</v>
      </c>
      <c r="J352" s="199">
        <f>0.27*H352*G352</f>
        <v>0.69068160000000001</v>
      </c>
      <c r="K352" s="199">
        <f>0.7299*H352*G352</f>
        <v>1.8671425919999998</v>
      </c>
      <c r="L352" s="199"/>
      <c r="M352" s="199"/>
      <c r="N352" s="199"/>
      <c r="O352" s="199"/>
      <c r="P352" s="199"/>
      <c r="Q352" s="199"/>
    </row>
    <row r="353" spans="1:17" s="25" customFormat="1" x14ac:dyDescent="0.25">
      <c r="A353" s="200" t="s">
        <v>22</v>
      </c>
      <c r="B353" s="201" t="s">
        <v>27</v>
      </c>
      <c r="C353" s="201">
        <v>88316</v>
      </c>
      <c r="D353" s="201"/>
      <c r="E353" s="204" t="s">
        <v>30</v>
      </c>
      <c r="F353" s="201" t="s">
        <v>29</v>
      </c>
      <c r="G353" s="203">
        <v>0.20599999999999999</v>
      </c>
      <c r="H353" s="203">
        <v>18.899999999999999</v>
      </c>
      <c r="I353" s="203" t="s">
        <v>1193</v>
      </c>
      <c r="J353" s="203">
        <f>0.3242*H353*G353</f>
        <v>1.2622402799999999</v>
      </c>
      <c r="K353" s="203">
        <f>0.6758*H353*G353</f>
        <v>2.6311597199999994</v>
      </c>
      <c r="L353" s="203"/>
      <c r="M353" s="203"/>
      <c r="N353" s="203"/>
      <c r="O353" s="203"/>
      <c r="P353" s="203"/>
      <c r="Q353" s="203"/>
    </row>
    <row r="354" spans="1:17" s="25" customFormat="1" ht="30" x14ac:dyDescent="0.25">
      <c r="A354" s="196" t="s">
        <v>22</v>
      </c>
      <c r="B354" s="197" t="s">
        <v>27</v>
      </c>
      <c r="C354" s="197">
        <v>93281</v>
      </c>
      <c r="D354" s="197"/>
      <c r="E354" s="207" t="s">
        <v>247</v>
      </c>
      <c r="F354" s="197" t="s">
        <v>285</v>
      </c>
      <c r="G354" s="199">
        <v>1.32E-2</v>
      </c>
      <c r="H354" s="199">
        <v>22.34</v>
      </c>
      <c r="I354" s="199" t="s">
        <v>1193</v>
      </c>
      <c r="J354" s="199">
        <f>0.2193*G354*H354</f>
        <v>6.4668938400000001E-2</v>
      </c>
      <c r="K354" s="199">
        <f>(1-0.2193)*G354*H354</f>
        <v>0.23021906159999997</v>
      </c>
      <c r="L354" s="199"/>
      <c r="M354" s="199"/>
      <c r="N354" s="199"/>
      <c r="O354" s="199"/>
      <c r="P354" s="199"/>
      <c r="Q354" s="199"/>
    </row>
    <row r="355" spans="1:17" s="25" customFormat="1" ht="30" x14ac:dyDescent="0.25">
      <c r="A355" s="200" t="s">
        <v>22</v>
      </c>
      <c r="B355" s="201" t="s">
        <v>27</v>
      </c>
      <c r="C355" s="201">
        <v>93282</v>
      </c>
      <c r="D355" s="201"/>
      <c r="E355" s="204" t="s">
        <v>248</v>
      </c>
      <c r="F355" s="201" t="s">
        <v>286</v>
      </c>
      <c r="G355" s="203">
        <v>1.83E-2</v>
      </c>
      <c r="H355" s="203">
        <v>21.47</v>
      </c>
      <c r="I355" s="203" t="s">
        <v>1193</v>
      </c>
      <c r="J355" s="203">
        <f>0.2282*G355*H355</f>
        <v>8.9660008199999988E-2</v>
      </c>
      <c r="K355" s="203">
        <f>(1-0.2282)*G355*H355</f>
        <v>0.30324099180000003</v>
      </c>
      <c r="L355" s="203"/>
      <c r="M355" s="203"/>
      <c r="N355" s="203"/>
      <c r="O355" s="203"/>
      <c r="P355" s="203"/>
      <c r="Q355" s="203"/>
    </row>
    <row r="356" spans="1:17" s="25" customFormat="1" x14ac:dyDescent="0.25">
      <c r="A356" s="196" t="s">
        <v>22</v>
      </c>
      <c r="B356" s="197" t="s">
        <v>62</v>
      </c>
      <c r="C356" s="197">
        <v>142</v>
      </c>
      <c r="D356" s="197"/>
      <c r="E356" s="207" t="s">
        <v>287</v>
      </c>
      <c r="F356" s="197" t="s">
        <v>288</v>
      </c>
      <c r="G356" s="199">
        <v>0.19700000000000001</v>
      </c>
      <c r="H356" s="199">
        <v>25.32</v>
      </c>
      <c r="I356" s="199" t="s">
        <v>1193</v>
      </c>
      <c r="J356" s="199">
        <f t="shared" ref="J356:J360" si="24">H356*G356</f>
        <v>4.9880400000000007</v>
      </c>
      <c r="K356" s="199"/>
      <c r="L356" s="199"/>
      <c r="M356" s="199"/>
      <c r="N356" s="199"/>
      <c r="O356" s="199"/>
      <c r="P356" s="199"/>
      <c r="Q356" s="199"/>
    </row>
    <row r="357" spans="1:17" s="25" customFormat="1" x14ac:dyDescent="0.25">
      <c r="A357" s="200" t="s">
        <v>22</v>
      </c>
      <c r="B357" s="201" t="s">
        <v>62</v>
      </c>
      <c r="C357" s="201">
        <v>5061</v>
      </c>
      <c r="D357" s="201"/>
      <c r="E357" s="204" t="s">
        <v>289</v>
      </c>
      <c r="F357" s="201" t="s">
        <v>64</v>
      </c>
      <c r="G357" s="203">
        <v>6.0000000000000001E-3</v>
      </c>
      <c r="H357" s="203">
        <v>17.91</v>
      </c>
      <c r="I357" s="203" t="s">
        <v>1193</v>
      </c>
      <c r="J357" s="203">
        <f t="shared" si="24"/>
        <v>0.10746</v>
      </c>
      <c r="K357" s="203"/>
      <c r="L357" s="203"/>
      <c r="M357" s="203"/>
      <c r="N357" s="203"/>
      <c r="O357" s="203"/>
      <c r="P357" s="203"/>
      <c r="Q357" s="203"/>
    </row>
    <row r="358" spans="1:17" s="25" customFormat="1" x14ac:dyDescent="0.25">
      <c r="A358" s="196" t="s">
        <v>22</v>
      </c>
      <c r="B358" s="197" t="s">
        <v>62</v>
      </c>
      <c r="C358" s="197">
        <v>5104</v>
      </c>
      <c r="D358" s="197"/>
      <c r="E358" s="207" t="s">
        <v>290</v>
      </c>
      <c r="F358" s="197" t="s">
        <v>64</v>
      </c>
      <c r="G358" s="229">
        <v>1.1999999999999999E-3</v>
      </c>
      <c r="H358" s="199">
        <v>60.9</v>
      </c>
      <c r="I358" s="199" t="s">
        <v>1193</v>
      </c>
      <c r="J358" s="199">
        <f t="shared" si="24"/>
        <v>7.3079999999999992E-2</v>
      </c>
      <c r="K358" s="199"/>
      <c r="L358" s="199"/>
      <c r="M358" s="199"/>
      <c r="N358" s="199"/>
      <c r="O358" s="199"/>
      <c r="P358" s="199"/>
      <c r="Q358" s="199"/>
    </row>
    <row r="359" spans="1:17" s="25" customFormat="1" x14ac:dyDescent="0.25">
      <c r="A359" s="200" t="s">
        <v>22</v>
      </c>
      <c r="B359" s="201" t="s">
        <v>62</v>
      </c>
      <c r="C359" s="201">
        <v>13388</v>
      </c>
      <c r="D359" s="201"/>
      <c r="E359" s="204" t="s">
        <v>291</v>
      </c>
      <c r="F359" s="201" t="s">
        <v>64</v>
      </c>
      <c r="G359" s="203">
        <v>4.4999999999999998E-2</v>
      </c>
      <c r="H359" s="203">
        <v>148.41999999999999</v>
      </c>
      <c r="I359" s="203" t="s">
        <v>1193</v>
      </c>
      <c r="J359" s="203">
        <f t="shared" si="24"/>
        <v>6.6788999999999996</v>
      </c>
      <c r="K359" s="203"/>
      <c r="L359" s="203"/>
      <c r="M359" s="203"/>
      <c r="N359" s="203"/>
      <c r="O359" s="203"/>
      <c r="P359" s="203"/>
      <c r="Q359" s="203"/>
    </row>
    <row r="360" spans="1:17" s="25" customFormat="1" x14ac:dyDescent="0.25">
      <c r="A360" s="196" t="s">
        <v>22</v>
      </c>
      <c r="B360" s="197" t="s">
        <v>62</v>
      </c>
      <c r="C360" s="197">
        <v>40873</v>
      </c>
      <c r="D360" s="197"/>
      <c r="E360" s="207" t="s">
        <v>292</v>
      </c>
      <c r="F360" s="197" t="s">
        <v>39</v>
      </c>
      <c r="G360" s="199">
        <v>1.05</v>
      </c>
      <c r="H360" s="199">
        <v>45.32</v>
      </c>
      <c r="I360" s="199" t="s">
        <v>1193</v>
      </c>
      <c r="J360" s="199">
        <f t="shared" si="24"/>
        <v>47.586000000000006</v>
      </c>
      <c r="K360" s="199"/>
      <c r="L360" s="199"/>
      <c r="M360" s="199"/>
      <c r="N360" s="199"/>
      <c r="O360" s="199"/>
      <c r="P360" s="199"/>
      <c r="Q360" s="199"/>
    </row>
    <row r="361" spans="1:17" s="25" customFormat="1" x14ac:dyDescent="0.25">
      <c r="A361" s="163"/>
      <c r="B361" s="101"/>
      <c r="C361" s="101"/>
      <c r="D361" s="101"/>
      <c r="E361" s="102"/>
      <c r="F361" s="101"/>
      <c r="G361" s="96"/>
      <c r="H361" s="96"/>
      <c r="I361" s="96" t="s">
        <v>1193</v>
      </c>
      <c r="J361" s="96"/>
      <c r="K361" s="96"/>
      <c r="L361" s="96"/>
      <c r="M361" s="96"/>
      <c r="N361" s="96"/>
      <c r="O361" s="96"/>
      <c r="P361" s="96"/>
      <c r="Q361" s="96"/>
    </row>
    <row r="362" spans="1:17" s="25" customFormat="1" ht="48" customHeight="1" x14ac:dyDescent="0.25">
      <c r="A362" s="149" t="s">
        <v>22</v>
      </c>
      <c r="B362" s="148"/>
      <c r="C362" s="148">
        <v>94228</v>
      </c>
      <c r="D362" s="143" t="s">
        <v>296</v>
      </c>
      <c r="E362" s="144" t="s">
        <v>294</v>
      </c>
      <c r="F362" s="143" t="s">
        <v>39</v>
      </c>
      <c r="G362" s="146"/>
      <c r="H362" s="146"/>
      <c r="I362" s="146">
        <v>0.67</v>
      </c>
      <c r="J362" s="146">
        <f>SUM(J363:J371)</f>
        <v>102.53298834660001</v>
      </c>
      <c r="K362" s="146">
        <f>SUM(K363:K371)</f>
        <v>9.8605022693999977</v>
      </c>
      <c r="L362" s="146">
        <f>J362+K362</f>
        <v>112.39349061600001</v>
      </c>
      <c r="M362" s="146">
        <f>J362*I362</f>
        <v>68.697102192222005</v>
      </c>
      <c r="N362" s="146">
        <f>K362*I362</f>
        <v>6.6065365204979987</v>
      </c>
      <c r="O362" s="146">
        <f>M362+N362</f>
        <v>75.303638712720002</v>
      </c>
      <c r="P362" s="146">
        <f>O362*$P$1</f>
        <v>19.322913693683951</v>
      </c>
      <c r="Q362" s="146">
        <f>P362+O362</f>
        <v>94.62655240640396</v>
      </c>
    </row>
    <row r="363" spans="1:17" s="25" customFormat="1" x14ac:dyDescent="0.25">
      <c r="A363" s="200" t="s">
        <v>22</v>
      </c>
      <c r="B363" s="201" t="s">
        <v>27</v>
      </c>
      <c r="C363" s="201">
        <v>88323</v>
      </c>
      <c r="D363" s="201"/>
      <c r="E363" s="204" t="s">
        <v>53</v>
      </c>
      <c r="F363" s="201" t="s">
        <v>29</v>
      </c>
      <c r="G363" s="203">
        <v>0.27600000000000002</v>
      </c>
      <c r="H363" s="203">
        <v>22.84</v>
      </c>
      <c r="I363" s="203" t="s">
        <v>1193</v>
      </c>
      <c r="J363" s="203">
        <f>0.27*H363*G363</f>
        <v>1.7020368000000001</v>
      </c>
      <c r="K363" s="203">
        <f>0.7299*H363*G363</f>
        <v>4.6011728160000001</v>
      </c>
      <c r="L363" s="203"/>
      <c r="M363" s="203"/>
      <c r="N363" s="203"/>
      <c r="O363" s="203"/>
      <c r="P363" s="203"/>
      <c r="Q363" s="203"/>
    </row>
    <row r="364" spans="1:17" s="25" customFormat="1" x14ac:dyDescent="0.25">
      <c r="A364" s="196" t="s">
        <v>22</v>
      </c>
      <c r="B364" s="197" t="s">
        <v>27</v>
      </c>
      <c r="C364" s="197">
        <v>88316</v>
      </c>
      <c r="D364" s="197"/>
      <c r="E364" s="207" t="s">
        <v>30</v>
      </c>
      <c r="F364" s="197" t="s">
        <v>29</v>
      </c>
      <c r="G364" s="199">
        <v>0.37</v>
      </c>
      <c r="H364" s="203">
        <v>18.899999999999999</v>
      </c>
      <c r="I364" s="199" t="s">
        <v>1193</v>
      </c>
      <c r="J364" s="199">
        <f>0.3242*H364*G364</f>
        <v>2.2671305999999998</v>
      </c>
      <c r="K364" s="199">
        <f>0.6758*H364*G364</f>
        <v>4.7258693999999997</v>
      </c>
      <c r="L364" s="199"/>
      <c r="M364" s="199"/>
      <c r="N364" s="199"/>
      <c r="O364" s="199"/>
      <c r="P364" s="199"/>
      <c r="Q364" s="199"/>
    </row>
    <row r="365" spans="1:17" s="25" customFormat="1" ht="30" x14ac:dyDescent="0.25">
      <c r="A365" s="200" t="s">
        <v>22</v>
      </c>
      <c r="B365" s="201" t="s">
        <v>27</v>
      </c>
      <c r="C365" s="201">
        <v>93281</v>
      </c>
      <c r="D365" s="201"/>
      <c r="E365" s="204" t="s">
        <v>247</v>
      </c>
      <c r="F365" s="201" t="s">
        <v>285</v>
      </c>
      <c r="G365" s="203">
        <v>1.32E-2</v>
      </c>
      <c r="H365" s="203">
        <v>22.34</v>
      </c>
      <c r="I365" s="203" t="s">
        <v>1193</v>
      </c>
      <c r="J365" s="203">
        <f>0.2193*G365*H365</f>
        <v>6.4668938400000001E-2</v>
      </c>
      <c r="K365" s="203">
        <f>(1-0.2193)*G365*H365</f>
        <v>0.23021906159999997</v>
      </c>
      <c r="L365" s="203"/>
      <c r="M365" s="203"/>
      <c r="N365" s="203"/>
      <c r="O365" s="203"/>
      <c r="P365" s="203"/>
      <c r="Q365" s="203"/>
    </row>
    <row r="366" spans="1:17" s="25" customFormat="1" ht="30" x14ac:dyDescent="0.25">
      <c r="A366" s="196" t="s">
        <v>22</v>
      </c>
      <c r="B366" s="197" t="s">
        <v>27</v>
      </c>
      <c r="C366" s="197">
        <v>93282</v>
      </c>
      <c r="D366" s="197"/>
      <c r="E366" s="207" t="s">
        <v>248</v>
      </c>
      <c r="F366" s="197" t="s">
        <v>286</v>
      </c>
      <c r="G366" s="199">
        <v>1.83E-2</v>
      </c>
      <c r="H366" s="199">
        <v>21.47</v>
      </c>
      <c r="I366" s="199" t="s">
        <v>1193</v>
      </c>
      <c r="J366" s="199">
        <f>0.2282*G366*H366</f>
        <v>8.9660008199999988E-2</v>
      </c>
      <c r="K366" s="199">
        <f>(1-0.2282)*G366*H366</f>
        <v>0.30324099180000003</v>
      </c>
      <c r="L366" s="199"/>
      <c r="M366" s="199"/>
      <c r="N366" s="199"/>
      <c r="O366" s="199"/>
      <c r="P366" s="199"/>
      <c r="Q366" s="199"/>
    </row>
    <row r="367" spans="1:17" s="25" customFormat="1" x14ac:dyDescent="0.25">
      <c r="A367" s="200" t="s">
        <v>22</v>
      </c>
      <c r="B367" s="201" t="s">
        <v>62</v>
      </c>
      <c r="C367" s="201">
        <v>142</v>
      </c>
      <c r="D367" s="201"/>
      <c r="E367" s="202" t="s">
        <v>287</v>
      </c>
      <c r="F367" s="201" t="s">
        <v>288</v>
      </c>
      <c r="G367" s="203">
        <v>8.1000000000000003E-2</v>
      </c>
      <c r="H367" s="203">
        <v>25.32</v>
      </c>
      <c r="I367" s="203" t="s">
        <v>1193</v>
      </c>
      <c r="J367" s="203">
        <f t="shared" ref="J367:J371" si="25">H367*G367</f>
        <v>2.0509200000000001</v>
      </c>
      <c r="K367" s="203"/>
      <c r="L367" s="203"/>
      <c r="M367" s="203"/>
      <c r="N367" s="203"/>
      <c r="O367" s="203"/>
      <c r="P367" s="203"/>
      <c r="Q367" s="203"/>
    </row>
    <row r="368" spans="1:17" s="25" customFormat="1" x14ac:dyDescent="0.25">
      <c r="A368" s="196" t="s">
        <v>22</v>
      </c>
      <c r="B368" s="197" t="s">
        <v>62</v>
      </c>
      <c r="C368" s="197">
        <v>5061</v>
      </c>
      <c r="D368" s="197"/>
      <c r="E368" s="198" t="s">
        <v>289</v>
      </c>
      <c r="F368" s="197" t="s">
        <v>64</v>
      </c>
      <c r="G368" s="199">
        <v>1.2999999999999999E-2</v>
      </c>
      <c r="H368" s="199">
        <v>17.91</v>
      </c>
      <c r="I368" s="199" t="s">
        <v>1193</v>
      </c>
      <c r="J368" s="199">
        <f t="shared" si="25"/>
        <v>0.23282999999999998</v>
      </c>
      <c r="K368" s="199"/>
      <c r="L368" s="199"/>
      <c r="M368" s="199"/>
      <c r="N368" s="199"/>
      <c r="O368" s="199"/>
      <c r="P368" s="199"/>
      <c r="Q368" s="199"/>
    </row>
    <row r="369" spans="1:17" s="25" customFormat="1" x14ac:dyDescent="0.25">
      <c r="A369" s="200" t="s">
        <v>22</v>
      </c>
      <c r="B369" s="201" t="s">
        <v>62</v>
      </c>
      <c r="C369" s="201">
        <v>5104</v>
      </c>
      <c r="D369" s="201"/>
      <c r="E369" s="202" t="s">
        <v>290</v>
      </c>
      <c r="F369" s="201" t="s">
        <v>64</v>
      </c>
      <c r="G369" s="208">
        <v>2.3800000000000002E-3</v>
      </c>
      <c r="H369" s="203">
        <v>60.9</v>
      </c>
      <c r="I369" s="203" t="s">
        <v>1193</v>
      </c>
      <c r="J369" s="203">
        <f t="shared" si="25"/>
        <v>0.14494200000000002</v>
      </c>
      <c r="K369" s="203"/>
      <c r="L369" s="203"/>
      <c r="M369" s="203"/>
      <c r="N369" s="203"/>
      <c r="O369" s="203"/>
      <c r="P369" s="203"/>
      <c r="Q369" s="203"/>
    </row>
    <row r="370" spans="1:17" s="25" customFormat="1" x14ac:dyDescent="0.25">
      <c r="A370" s="196" t="s">
        <v>22</v>
      </c>
      <c r="B370" s="197" t="s">
        <v>62</v>
      </c>
      <c r="C370" s="197">
        <v>13388</v>
      </c>
      <c r="D370" s="197"/>
      <c r="E370" s="198" t="s">
        <v>291</v>
      </c>
      <c r="F370" s="197" t="s">
        <v>64</v>
      </c>
      <c r="G370" s="199">
        <v>0.09</v>
      </c>
      <c r="H370" s="199">
        <v>113.87</v>
      </c>
      <c r="I370" s="199" t="s">
        <v>1193</v>
      </c>
      <c r="J370" s="199">
        <f t="shared" si="25"/>
        <v>10.2483</v>
      </c>
      <c r="K370" s="199"/>
      <c r="L370" s="199"/>
      <c r="M370" s="199"/>
      <c r="N370" s="199"/>
      <c r="O370" s="199"/>
      <c r="P370" s="199"/>
      <c r="Q370" s="199"/>
    </row>
    <row r="371" spans="1:17" s="25" customFormat="1" x14ac:dyDescent="0.25">
      <c r="A371" s="200" t="s">
        <v>22</v>
      </c>
      <c r="B371" s="201" t="s">
        <v>62</v>
      </c>
      <c r="C371" s="201">
        <v>40783</v>
      </c>
      <c r="D371" s="201"/>
      <c r="E371" s="230" t="s">
        <v>295</v>
      </c>
      <c r="F371" s="201" t="s">
        <v>39</v>
      </c>
      <c r="G371" s="203">
        <v>1.05</v>
      </c>
      <c r="H371" s="203">
        <v>81.650000000000006</v>
      </c>
      <c r="I371" s="203" t="s">
        <v>1193</v>
      </c>
      <c r="J371" s="203">
        <f t="shared" si="25"/>
        <v>85.732500000000016</v>
      </c>
      <c r="K371" s="203"/>
      <c r="L371" s="203"/>
      <c r="M371" s="203"/>
      <c r="N371" s="203"/>
      <c r="O371" s="203"/>
      <c r="P371" s="203"/>
      <c r="Q371" s="203"/>
    </row>
    <row r="372" spans="1:17" s="25" customFormat="1" x14ac:dyDescent="0.25">
      <c r="A372" s="159"/>
      <c r="B372" s="160"/>
      <c r="C372" s="160"/>
      <c r="D372" s="160"/>
      <c r="E372" s="161"/>
      <c r="F372" s="160"/>
      <c r="G372" s="162"/>
      <c r="H372" s="162"/>
      <c r="I372" s="162" t="s">
        <v>1193</v>
      </c>
      <c r="J372" s="162"/>
      <c r="K372" s="162"/>
      <c r="L372" s="162"/>
      <c r="M372" s="162"/>
      <c r="N372" s="162"/>
      <c r="O372" s="162"/>
      <c r="P372" s="162"/>
      <c r="Q372" s="162"/>
    </row>
    <row r="373" spans="1:17" s="25" customFormat="1" ht="30" x14ac:dyDescent="0.25">
      <c r="A373" s="149" t="s">
        <v>22</v>
      </c>
      <c r="B373" s="148"/>
      <c r="C373" s="148">
        <v>102264</v>
      </c>
      <c r="D373" s="143" t="s">
        <v>1206</v>
      </c>
      <c r="E373" s="144" t="s">
        <v>297</v>
      </c>
      <c r="F373" s="143" t="s">
        <v>39</v>
      </c>
      <c r="G373" s="146"/>
      <c r="H373" s="146"/>
      <c r="I373" s="146">
        <v>0.67</v>
      </c>
      <c r="J373" s="146">
        <f>SUM(J374:J378)</f>
        <v>18.602350473600001</v>
      </c>
      <c r="K373" s="146">
        <f>SUM(K374:K378)</f>
        <v>2.2150012607999998</v>
      </c>
      <c r="L373" s="146">
        <f>J373+K373</f>
        <v>20.817351734400003</v>
      </c>
      <c r="M373" s="146">
        <f>J373*I373</f>
        <v>12.463574817312002</v>
      </c>
      <c r="N373" s="146">
        <f>K373*I373</f>
        <v>1.4840508447359999</v>
      </c>
      <c r="O373" s="146">
        <f>M373+N373</f>
        <v>13.947625662048003</v>
      </c>
      <c r="P373" s="146">
        <f>O373*$P$1</f>
        <v>3.5789607448815173</v>
      </c>
      <c r="Q373" s="146">
        <f>P373+O373</f>
        <v>17.526586406929521</v>
      </c>
    </row>
    <row r="374" spans="1:17" s="25" customFormat="1" x14ac:dyDescent="0.25">
      <c r="A374" s="196" t="s">
        <v>22</v>
      </c>
      <c r="B374" s="197" t="s">
        <v>27</v>
      </c>
      <c r="C374" s="197">
        <v>88316</v>
      </c>
      <c r="D374" s="197"/>
      <c r="E374" s="198" t="s">
        <v>30</v>
      </c>
      <c r="F374" s="197" t="s">
        <v>29</v>
      </c>
      <c r="G374" s="199">
        <v>7.5200000000000003E-2</v>
      </c>
      <c r="H374" s="203">
        <v>18.899999999999999</v>
      </c>
      <c r="I374" s="199" t="s">
        <v>1193</v>
      </c>
      <c r="J374" s="199">
        <f>0.3242*H374*G374</f>
        <v>0.46077897600000001</v>
      </c>
      <c r="K374" s="199">
        <f>0.6758*H374*G374</f>
        <v>0.96050102399999993</v>
      </c>
      <c r="L374" s="199"/>
      <c r="M374" s="199"/>
      <c r="N374" s="199"/>
      <c r="O374" s="199"/>
      <c r="P374" s="199"/>
      <c r="Q374" s="199"/>
    </row>
    <row r="375" spans="1:17" s="25" customFormat="1" x14ac:dyDescent="0.25">
      <c r="A375" s="200" t="s">
        <v>22</v>
      </c>
      <c r="B375" s="201" t="s">
        <v>27</v>
      </c>
      <c r="C375" s="201">
        <v>88246</v>
      </c>
      <c r="D375" s="201"/>
      <c r="E375" s="202" t="s">
        <v>298</v>
      </c>
      <c r="F375" s="201" t="s">
        <v>29</v>
      </c>
      <c r="G375" s="203">
        <v>7.5200000000000003E-2</v>
      </c>
      <c r="H375" s="203">
        <v>20.78</v>
      </c>
      <c r="I375" s="203" t="s">
        <v>1193</v>
      </c>
      <c r="J375" s="203">
        <f>0.1971*H375*G375</f>
        <v>0.30799949760000001</v>
      </c>
      <c r="K375" s="203">
        <f>0.8028*H375*G375</f>
        <v>1.2545002368</v>
      </c>
      <c r="L375" s="203"/>
      <c r="M375" s="203"/>
      <c r="N375" s="203"/>
      <c r="O375" s="203"/>
      <c r="P375" s="203"/>
      <c r="Q375" s="203"/>
    </row>
    <row r="376" spans="1:17" s="25" customFormat="1" x14ac:dyDescent="0.25">
      <c r="A376" s="196" t="s">
        <v>22</v>
      </c>
      <c r="B376" s="197" t="s">
        <v>62</v>
      </c>
      <c r="C376" s="197">
        <v>9836</v>
      </c>
      <c r="D376" s="197"/>
      <c r="E376" s="198" t="s">
        <v>299</v>
      </c>
      <c r="F376" s="197" t="s">
        <v>39</v>
      </c>
      <c r="G376" s="199">
        <v>1.05</v>
      </c>
      <c r="H376" s="199">
        <v>16.09</v>
      </c>
      <c r="I376" s="199" t="s">
        <v>1193</v>
      </c>
      <c r="J376" s="199">
        <f t="shared" ref="J376:J378" si="26">G376*H376</f>
        <v>16.894500000000001</v>
      </c>
      <c r="K376" s="199"/>
      <c r="L376" s="199"/>
      <c r="M376" s="199"/>
      <c r="N376" s="199"/>
      <c r="O376" s="199"/>
      <c r="P376" s="199"/>
      <c r="Q376" s="199"/>
    </row>
    <row r="377" spans="1:17" s="25" customFormat="1" x14ac:dyDescent="0.25">
      <c r="A377" s="200" t="s">
        <v>22</v>
      </c>
      <c r="B377" s="201" t="s">
        <v>62</v>
      </c>
      <c r="C377" s="201">
        <v>303</v>
      </c>
      <c r="D377" s="201"/>
      <c r="E377" s="202" t="s">
        <v>300</v>
      </c>
      <c r="F377" s="201" t="s">
        <v>1215</v>
      </c>
      <c r="G377" s="203">
        <v>0.16600000000000001</v>
      </c>
      <c r="H377" s="203">
        <v>4.0199999999999996</v>
      </c>
      <c r="I377" s="203" t="s">
        <v>1193</v>
      </c>
      <c r="J377" s="203">
        <f t="shared" si="26"/>
        <v>0.66731999999999991</v>
      </c>
      <c r="K377" s="203"/>
      <c r="L377" s="203"/>
      <c r="M377" s="203"/>
      <c r="N377" s="203"/>
      <c r="O377" s="203"/>
      <c r="P377" s="203"/>
      <c r="Q377" s="203"/>
    </row>
    <row r="378" spans="1:17" s="25" customFormat="1" ht="30" x14ac:dyDescent="0.25">
      <c r="A378" s="196" t="s">
        <v>22</v>
      </c>
      <c r="B378" s="197" t="s">
        <v>62</v>
      </c>
      <c r="C378" s="197">
        <v>20078</v>
      </c>
      <c r="D378" s="197"/>
      <c r="E378" s="207" t="s">
        <v>301</v>
      </c>
      <c r="F378" s="197" t="s">
        <v>1215</v>
      </c>
      <c r="G378" s="199">
        <v>1.04E-2</v>
      </c>
      <c r="H378" s="199">
        <v>26.13</v>
      </c>
      <c r="I378" s="199" t="s">
        <v>1193</v>
      </c>
      <c r="J378" s="199">
        <f t="shared" si="26"/>
        <v>0.27175199999999999</v>
      </c>
      <c r="K378" s="199"/>
      <c r="L378" s="199"/>
      <c r="M378" s="199"/>
      <c r="N378" s="199"/>
      <c r="O378" s="199"/>
      <c r="P378" s="199"/>
      <c r="Q378" s="199"/>
    </row>
    <row r="379" spans="1:17" s="25" customFormat="1" x14ac:dyDescent="0.25">
      <c r="A379" s="163"/>
      <c r="B379" s="101"/>
      <c r="C379" s="101"/>
      <c r="D379" s="101"/>
      <c r="E379" s="102"/>
      <c r="F379" s="101"/>
      <c r="G379" s="96"/>
      <c r="H379" s="96"/>
      <c r="I379" s="96" t="s">
        <v>1193</v>
      </c>
      <c r="J379" s="96"/>
      <c r="K379" s="96"/>
      <c r="L379" s="96"/>
      <c r="M379" s="96"/>
      <c r="N379" s="96"/>
      <c r="O379" s="96"/>
      <c r="P379" s="96"/>
      <c r="Q379" s="96"/>
    </row>
    <row r="380" spans="1:17" s="25" customFormat="1" ht="15.75" x14ac:dyDescent="0.25">
      <c r="A380" s="136"/>
      <c r="B380" s="97"/>
      <c r="C380" s="97"/>
      <c r="D380" s="97">
        <v>8</v>
      </c>
      <c r="E380" s="98" t="s">
        <v>302</v>
      </c>
      <c r="F380" s="97"/>
      <c r="G380" s="97"/>
      <c r="H380" s="330"/>
      <c r="I380" s="97" t="s">
        <v>1193</v>
      </c>
      <c r="J380" s="330"/>
      <c r="K380" s="330"/>
      <c r="L380" s="330"/>
      <c r="M380" s="330"/>
      <c r="N380" s="330"/>
      <c r="O380" s="330"/>
      <c r="P380" s="330"/>
      <c r="Q380" s="330">
        <f>SUM(Q382:Q412)</f>
        <v>234.44555772422311</v>
      </c>
    </row>
    <row r="381" spans="1:17" s="25" customFormat="1" x14ac:dyDescent="0.25">
      <c r="A381" s="163"/>
      <c r="B381" s="101"/>
      <c r="C381" s="101"/>
      <c r="D381" s="101"/>
      <c r="E381" s="102"/>
      <c r="F381" s="101"/>
      <c r="G381" s="96"/>
      <c r="H381" s="96"/>
      <c r="I381" s="96" t="s">
        <v>1193</v>
      </c>
      <c r="J381" s="96"/>
      <c r="K381" s="96"/>
      <c r="L381" s="96"/>
      <c r="M381" s="96"/>
      <c r="N381" s="96"/>
      <c r="O381" s="96"/>
      <c r="P381" s="96"/>
      <c r="Q381" s="96"/>
    </row>
    <row r="382" spans="1:17" s="25" customFormat="1" ht="30" x14ac:dyDescent="0.25">
      <c r="A382" s="149" t="s">
        <v>22</v>
      </c>
      <c r="B382" s="148"/>
      <c r="C382" s="148">
        <v>98557</v>
      </c>
      <c r="D382" s="143" t="s">
        <v>303</v>
      </c>
      <c r="E382" s="144" t="s">
        <v>304</v>
      </c>
      <c r="F382" s="143" t="s">
        <v>33</v>
      </c>
      <c r="G382" s="146"/>
      <c r="H382" s="146"/>
      <c r="I382" s="146">
        <v>0.67</v>
      </c>
      <c r="J382" s="146">
        <f>SUM(J383:J385)</f>
        <v>29.801850532</v>
      </c>
      <c r="K382" s="146">
        <f>SUM(K383:K385)</f>
        <v>9.2904426139999998</v>
      </c>
      <c r="L382" s="146">
        <f>J382+K382</f>
        <v>39.092293146000003</v>
      </c>
      <c r="M382" s="146">
        <f>J382*I382</f>
        <v>19.967239856440003</v>
      </c>
      <c r="N382" s="146">
        <f>K382*I382</f>
        <v>6.2245965513800003</v>
      </c>
      <c r="O382" s="146">
        <f>M382+N382</f>
        <v>26.191836407820002</v>
      </c>
      <c r="P382" s="146">
        <f>O382*$P$1</f>
        <v>6.7208252222466127</v>
      </c>
      <c r="Q382" s="146">
        <f>P382+O382</f>
        <v>32.912661630066616</v>
      </c>
    </row>
    <row r="383" spans="1:17" s="25" customFormat="1" x14ac:dyDescent="0.25">
      <c r="A383" s="200" t="s">
        <v>22</v>
      </c>
      <c r="B383" s="201" t="s">
        <v>27</v>
      </c>
      <c r="C383" s="201">
        <v>88270</v>
      </c>
      <c r="D383" s="201"/>
      <c r="E383" s="202" t="s">
        <v>305</v>
      </c>
      <c r="F383" s="201" t="s">
        <v>29</v>
      </c>
      <c r="G383" s="203">
        <v>0.42199999999999999</v>
      </c>
      <c r="H383" s="203">
        <v>24.97</v>
      </c>
      <c r="I383" s="203" t="s">
        <v>1193</v>
      </c>
      <c r="J383" s="203">
        <f>0.2518*H383*G383</f>
        <v>2.6533022119999998</v>
      </c>
      <c r="K383" s="203">
        <f>0.7481*H383*G383</f>
        <v>7.8829840539999987</v>
      </c>
      <c r="L383" s="203"/>
      <c r="M383" s="203"/>
      <c r="N383" s="203"/>
      <c r="O383" s="203"/>
      <c r="P383" s="203"/>
      <c r="Q383" s="203"/>
    </row>
    <row r="384" spans="1:17" s="25" customFormat="1" x14ac:dyDescent="0.25">
      <c r="A384" s="196" t="s">
        <v>22</v>
      </c>
      <c r="B384" s="197" t="s">
        <v>27</v>
      </c>
      <c r="C384" s="197">
        <v>88243</v>
      </c>
      <c r="D384" s="197"/>
      <c r="E384" s="198" t="s">
        <v>306</v>
      </c>
      <c r="F384" s="197" t="s">
        <v>29</v>
      </c>
      <c r="G384" s="199">
        <v>8.5000000000000006E-2</v>
      </c>
      <c r="H384" s="199">
        <v>22.72</v>
      </c>
      <c r="I384" s="199" t="s">
        <v>1193</v>
      </c>
      <c r="J384" s="199">
        <f>0.2711*H384*G384</f>
        <v>0.52354831999999996</v>
      </c>
      <c r="K384" s="199">
        <f>0.7288*H384*G384</f>
        <v>1.4074585600000002</v>
      </c>
      <c r="L384" s="199"/>
      <c r="M384" s="199"/>
      <c r="N384" s="199"/>
      <c r="O384" s="199"/>
      <c r="P384" s="199"/>
      <c r="Q384" s="199"/>
    </row>
    <row r="385" spans="1:17" s="25" customFormat="1" ht="30" x14ac:dyDescent="0.25">
      <c r="A385" s="200" t="s">
        <v>22</v>
      </c>
      <c r="B385" s="201" t="s">
        <v>62</v>
      </c>
      <c r="C385" s="201">
        <v>626</v>
      </c>
      <c r="D385" s="201"/>
      <c r="E385" s="204" t="s">
        <v>307</v>
      </c>
      <c r="F385" s="201" t="s">
        <v>64</v>
      </c>
      <c r="G385" s="203">
        <v>1.5</v>
      </c>
      <c r="H385" s="199">
        <v>17.75</v>
      </c>
      <c r="I385" s="203" t="s">
        <v>1193</v>
      </c>
      <c r="J385" s="203">
        <f>H385*G385</f>
        <v>26.625</v>
      </c>
      <c r="K385" s="203"/>
      <c r="L385" s="203"/>
      <c r="M385" s="203"/>
      <c r="N385" s="203"/>
      <c r="O385" s="203"/>
      <c r="P385" s="203"/>
      <c r="Q385" s="203"/>
    </row>
    <row r="386" spans="1:17" s="25" customFormat="1" x14ac:dyDescent="0.25">
      <c r="A386" s="159"/>
      <c r="B386" s="160"/>
      <c r="C386" s="160"/>
      <c r="D386" s="160"/>
      <c r="E386" s="161"/>
      <c r="F386" s="160"/>
      <c r="G386" s="162"/>
      <c r="H386" s="162"/>
      <c r="I386" s="162" t="s">
        <v>1193</v>
      </c>
      <c r="J386" s="162"/>
      <c r="K386" s="162"/>
      <c r="L386" s="162"/>
      <c r="M386" s="162"/>
      <c r="N386" s="162"/>
      <c r="O386" s="162"/>
      <c r="P386" s="162"/>
      <c r="Q386" s="162"/>
    </row>
    <row r="387" spans="1:17" s="25" customFormat="1" x14ac:dyDescent="0.25">
      <c r="A387" s="149" t="s">
        <v>22</v>
      </c>
      <c r="B387" s="148"/>
      <c r="C387" s="148">
        <v>98555</v>
      </c>
      <c r="D387" s="143" t="s">
        <v>308</v>
      </c>
      <c r="E387" s="144" t="s">
        <v>309</v>
      </c>
      <c r="F387" s="143" t="s">
        <v>33</v>
      </c>
      <c r="G387" s="146"/>
      <c r="H387" s="146"/>
      <c r="I387" s="146">
        <v>0.67</v>
      </c>
      <c r="J387" s="146">
        <f>SUM(J388:J390)</f>
        <v>11.754135607999999</v>
      </c>
      <c r="K387" s="146">
        <f>SUM(K388:K390)</f>
        <v>11.726090612</v>
      </c>
      <c r="L387" s="146">
        <f>J387+K387</f>
        <v>23.480226219999999</v>
      </c>
      <c r="M387" s="146">
        <f>J387*I387</f>
        <v>7.8752708573599994</v>
      </c>
      <c r="N387" s="146">
        <f>K387*I387</f>
        <v>7.8564807100400005</v>
      </c>
      <c r="O387" s="146">
        <f>M387+N387</f>
        <v>15.7317515674</v>
      </c>
      <c r="P387" s="146">
        <f>O387*$P$1</f>
        <v>4.03676745219484</v>
      </c>
      <c r="Q387" s="146">
        <f>P387+O387</f>
        <v>19.768519019594841</v>
      </c>
    </row>
    <row r="388" spans="1:17" s="25" customFormat="1" x14ac:dyDescent="0.25">
      <c r="A388" s="196" t="s">
        <v>22</v>
      </c>
      <c r="B388" s="197" t="s">
        <v>27</v>
      </c>
      <c r="C388" s="197">
        <v>88270</v>
      </c>
      <c r="D388" s="197"/>
      <c r="E388" s="198" t="s">
        <v>305</v>
      </c>
      <c r="F388" s="197" t="s">
        <v>29</v>
      </c>
      <c r="G388" s="199">
        <v>0.53200000000000003</v>
      </c>
      <c r="H388" s="199">
        <v>24.97</v>
      </c>
      <c r="I388" s="199" t="s">
        <v>1193</v>
      </c>
      <c r="J388" s="199">
        <f>0.2518*H388*G388</f>
        <v>3.3449212720000001</v>
      </c>
      <c r="K388" s="199">
        <f>0.7481*H388*G388</f>
        <v>9.9377903239999998</v>
      </c>
      <c r="L388" s="199"/>
      <c r="M388" s="199"/>
      <c r="N388" s="199"/>
      <c r="O388" s="199"/>
      <c r="P388" s="199"/>
      <c r="Q388" s="199"/>
    </row>
    <row r="389" spans="1:17" s="25" customFormat="1" x14ac:dyDescent="0.25">
      <c r="A389" s="200" t="s">
        <v>22</v>
      </c>
      <c r="B389" s="201" t="s">
        <v>27</v>
      </c>
      <c r="C389" s="201">
        <v>88243</v>
      </c>
      <c r="D389" s="201"/>
      <c r="E389" s="202" t="s">
        <v>306</v>
      </c>
      <c r="F389" s="201" t="s">
        <v>29</v>
      </c>
      <c r="G389" s="203">
        <v>0.108</v>
      </c>
      <c r="H389" s="203">
        <v>22.72</v>
      </c>
      <c r="I389" s="203" t="s">
        <v>1193</v>
      </c>
      <c r="J389" s="203">
        <f>0.2711*H389*G389</f>
        <v>0.66521433599999991</v>
      </c>
      <c r="K389" s="203">
        <f>0.7288*H389*G389</f>
        <v>1.7883002880000001</v>
      </c>
      <c r="L389" s="203"/>
      <c r="M389" s="203"/>
      <c r="N389" s="203"/>
      <c r="O389" s="203"/>
      <c r="P389" s="203"/>
      <c r="Q389" s="203"/>
    </row>
    <row r="390" spans="1:17" s="25" customFormat="1" ht="30" x14ac:dyDescent="0.25">
      <c r="A390" s="196" t="s">
        <v>22</v>
      </c>
      <c r="B390" s="197" t="s">
        <v>62</v>
      </c>
      <c r="C390" s="197">
        <v>135</v>
      </c>
      <c r="D390" s="197"/>
      <c r="E390" s="207" t="s">
        <v>310</v>
      </c>
      <c r="F390" s="197" t="s">
        <v>64</v>
      </c>
      <c r="G390" s="199">
        <v>3.2</v>
      </c>
      <c r="H390" s="199">
        <v>2.42</v>
      </c>
      <c r="I390" s="199" t="s">
        <v>1193</v>
      </c>
      <c r="J390" s="199">
        <f>G390*H390</f>
        <v>7.7439999999999998</v>
      </c>
      <c r="K390" s="199"/>
      <c r="L390" s="199"/>
      <c r="M390" s="199"/>
      <c r="N390" s="199"/>
      <c r="O390" s="199"/>
      <c r="P390" s="199"/>
      <c r="Q390" s="199"/>
    </row>
    <row r="391" spans="1:17" s="25" customFormat="1" x14ac:dyDescent="0.25">
      <c r="A391" s="163"/>
      <c r="B391" s="101"/>
      <c r="C391" s="101"/>
      <c r="D391" s="101"/>
      <c r="E391" s="102"/>
      <c r="F391" s="101"/>
      <c r="G391" s="96"/>
      <c r="H391" s="96"/>
      <c r="I391" s="96" t="s">
        <v>1193</v>
      </c>
      <c r="J391" s="96"/>
      <c r="K391" s="96"/>
      <c r="L391" s="96"/>
      <c r="M391" s="96"/>
      <c r="N391" s="96"/>
      <c r="O391" s="96"/>
      <c r="P391" s="96"/>
      <c r="Q391" s="96"/>
    </row>
    <row r="392" spans="1:17" s="25" customFormat="1" ht="30" x14ac:dyDescent="0.25">
      <c r="A392" s="149" t="s">
        <v>22</v>
      </c>
      <c r="B392" s="148"/>
      <c r="C392" s="148">
        <v>98560</v>
      </c>
      <c r="D392" s="143" t="s">
        <v>311</v>
      </c>
      <c r="E392" s="144" t="s">
        <v>312</v>
      </c>
      <c r="F392" s="143" t="s">
        <v>33</v>
      </c>
      <c r="G392" s="146"/>
      <c r="H392" s="146"/>
      <c r="I392" s="146">
        <v>0.67</v>
      </c>
      <c r="J392" s="146">
        <f>SUM(J393:J396)</f>
        <v>19.371485285000002</v>
      </c>
      <c r="K392" s="146">
        <f>SUM(K393:K396)</f>
        <v>21.777074989999996</v>
      </c>
      <c r="L392" s="146">
        <f>J392+K392</f>
        <v>41.148560274999994</v>
      </c>
      <c r="M392" s="146">
        <f>J392*I392</f>
        <v>12.978895140950002</v>
      </c>
      <c r="N392" s="146">
        <f>K392*I392</f>
        <v>14.590640243299998</v>
      </c>
      <c r="O392" s="146">
        <f>M392+N392</f>
        <v>27.569535384249999</v>
      </c>
      <c r="P392" s="146">
        <f>O392*$P$1</f>
        <v>7.0743427795985498</v>
      </c>
      <c r="Q392" s="146">
        <f>P392+O392</f>
        <v>34.643878163848548</v>
      </c>
    </row>
    <row r="393" spans="1:17" s="25" customFormat="1" x14ac:dyDescent="0.25">
      <c r="A393" s="200" t="s">
        <v>22</v>
      </c>
      <c r="B393" s="201" t="s">
        <v>27</v>
      </c>
      <c r="C393" s="201">
        <v>88309</v>
      </c>
      <c r="D393" s="201"/>
      <c r="E393" s="202" t="s">
        <v>65</v>
      </c>
      <c r="F393" s="201" t="s">
        <v>29</v>
      </c>
      <c r="G393" s="203">
        <v>0.97499999999999998</v>
      </c>
      <c r="H393" s="203">
        <v>24.51</v>
      </c>
      <c r="I393" s="203" t="s">
        <v>1193</v>
      </c>
      <c r="J393" s="203">
        <f>0.2565*H393*G393</f>
        <v>6.129644625000001</v>
      </c>
      <c r="K393" s="203">
        <f>0.7434*H393*G393</f>
        <v>17.765215649999998</v>
      </c>
      <c r="L393" s="203"/>
      <c r="M393" s="203"/>
      <c r="N393" s="203"/>
      <c r="O393" s="203"/>
      <c r="P393" s="203"/>
      <c r="Q393" s="203"/>
    </row>
    <row r="394" spans="1:17" s="25" customFormat="1" x14ac:dyDescent="0.25">
      <c r="A394" s="196" t="s">
        <v>22</v>
      </c>
      <c r="B394" s="197" t="s">
        <v>27</v>
      </c>
      <c r="C394" s="197">
        <v>88316</v>
      </c>
      <c r="D394" s="197"/>
      <c r="E394" s="198" t="s">
        <v>313</v>
      </c>
      <c r="F394" s="197" t="s">
        <v>29</v>
      </c>
      <c r="G394" s="199">
        <v>0.19700000000000001</v>
      </c>
      <c r="H394" s="203">
        <v>18.899999999999999</v>
      </c>
      <c r="I394" s="199" t="s">
        <v>1193</v>
      </c>
      <c r="J394" s="199">
        <f>0.3242*H394*G394</f>
        <v>1.2070938600000001</v>
      </c>
      <c r="K394" s="199">
        <f>0.6758*H394*G394</f>
        <v>2.5162061399999995</v>
      </c>
      <c r="L394" s="199"/>
      <c r="M394" s="199"/>
      <c r="N394" s="199"/>
      <c r="O394" s="199"/>
      <c r="P394" s="199"/>
      <c r="Q394" s="199"/>
    </row>
    <row r="395" spans="1:17" s="25" customFormat="1" ht="30" x14ac:dyDescent="0.25">
      <c r="A395" s="200" t="s">
        <v>22</v>
      </c>
      <c r="B395" s="201" t="s">
        <v>27</v>
      </c>
      <c r="C395" s="201">
        <v>87298</v>
      </c>
      <c r="D395" s="201"/>
      <c r="E395" s="333" t="s">
        <v>314</v>
      </c>
      <c r="F395" s="201" t="s">
        <v>113</v>
      </c>
      <c r="G395" s="203">
        <v>2.5000000000000001E-2</v>
      </c>
      <c r="H395" s="199">
        <v>482.08</v>
      </c>
      <c r="I395" s="203" t="s">
        <v>1193</v>
      </c>
      <c r="J395" s="203">
        <f>0.8759*G395*H395</f>
        <v>10.5563468</v>
      </c>
      <c r="K395" s="203">
        <f>(1-0.8759)*G395*H395</f>
        <v>1.4956531999999998</v>
      </c>
      <c r="L395" s="203"/>
      <c r="M395" s="203"/>
      <c r="N395" s="203"/>
      <c r="O395" s="203"/>
      <c r="P395" s="203"/>
      <c r="Q395" s="203"/>
    </row>
    <row r="396" spans="1:17" s="25" customFormat="1" ht="30" x14ac:dyDescent="0.25">
      <c r="A396" s="196" t="s">
        <v>22</v>
      </c>
      <c r="B396" s="197" t="s">
        <v>62</v>
      </c>
      <c r="C396" s="197">
        <v>123</v>
      </c>
      <c r="D396" s="197"/>
      <c r="E396" s="207" t="s">
        <v>315</v>
      </c>
      <c r="F396" s="197" t="s">
        <v>316</v>
      </c>
      <c r="G396" s="199">
        <v>0.28000000000000003</v>
      </c>
      <c r="H396" s="199">
        <v>5.28</v>
      </c>
      <c r="I396" s="199" t="s">
        <v>1193</v>
      </c>
      <c r="J396" s="199">
        <f>G396*H396</f>
        <v>1.4784000000000002</v>
      </c>
      <c r="K396" s="199"/>
      <c r="L396" s="199"/>
      <c r="M396" s="199"/>
      <c r="N396" s="199"/>
      <c r="O396" s="199"/>
      <c r="P396" s="199"/>
      <c r="Q396" s="199"/>
    </row>
    <row r="397" spans="1:17" s="25" customFormat="1" x14ac:dyDescent="0.25">
      <c r="A397" s="163"/>
      <c r="B397" s="101"/>
      <c r="C397" s="101"/>
      <c r="D397" s="101"/>
      <c r="E397" s="102"/>
      <c r="F397" s="101"/>
      <c r="G397" s="96"/>
      <c r="H397" s="96"/>
      <c r="I397" s="96" t="s">
        <v>1193</v>
      </c>
      <c r="J397" s="96"/>
      <c r="K397" s="96"/>
      <c r="L397" s="96"/>
      <c r="M397" s="96"/>
      <c r="N397" s="96"/>
      <c r="O397" s="96"/>
      <c r="P397" s="96"/>
      <c r="Q397" s="96"/>
    </row>
    <row r="398" spans="1:17" s="25" customFormat="1" ht="55.15" customHeight="1" x14ac:dyDescent="0.25">
      <c r="A398" s="149" t="s">
        <v>22</v>
      </c>
      <c r="B398" s="148"/>
      <c r="C398" s="148">
        <v>98547</v>
      </c>
      <c r="D398" s="143" t="s">
        <v>317</v>
      </c>
      <c r="E398" s="144" t="s">
        <v>318</v>
      </c>
      <c r="F398" s="143" t="s">
        <v>33</v>
      </c>
      <c r="G398" s="146"/>
      <c r="H398" s="146"/>
      <c r="I398" s="146">
        <v>0.67</v>
      </c>
      <c r="J398" s="146">
        <f>SUM(J399:J404)</f>
        <v>127.69939522599999</v>
      </c>
      <c r="K398" s="146">
        <f>SUM(K399:K404)</f>
        <v>30.288295782999995</v>
      </c>
      <c r="L398" s="146">
        <f>J398+K398</f>
        <v>157.987691009</v>
      </c>
      <c r="M398" s="146">
        <f>J398*I398</f>
        <v>85.55859480142</v>
      </c>
      <c r="N398" s="146">
        <f>K398*I398</f>
        <v>20.293158174609999</v>
      </c>
      <c r="O398" s="146">
        <f>M398+N398</f>
        <v>105.85175297603</v>
      </c>
      <c r="P398" s="146">
        <f>O398*$P$1</f>
        <v>27.161559813649298</v>
      </c>
      <c r="Q398" s="146">
        <f>P398+O398</f>
        <v>133.0133127896793</v>
      </c>
    </row>
    <row r="399" spans="1:17" s="25" customFormat="1" x14ac:dyDescent="0.25">
      <c r="A399" s="200" t="s">
        <v>22</v>
      </c>
      <c r="B399" s="201" t="s">
        <v>27</v>
      </c>
      <c r="C399" s="201">
        <v>88270</v>
      </c>
      <c r="D399" s="201"/>
      <c r="E399" s="202" t="s">
        <v>305</v>
      </c>
      <c r="F399" s="201" t="s">
        <v>29</v>
      </c>
      <c r="G399" s="231">
        <v>1.375</v>
      </c>
      <c r="H399" s="203">
        <v>24.97</v>
      </c>
      <c r="I399" s="203" t="s">
        <v>1193</v>
      </c>
      <c r="J399" s="203">
        <f>0.2518*H399*G399</f>
        <v>8.6452382500000002</v>
      </c>
      <c r="K399" s="203">
        <f>0.7481*H399*G399</f>
        <v>25.685078374999996</v>
      </c>
      <c r="L399" s="203"/>
      <c r="M399" s="203"/>
      <c r="N399" s="203"/>
      <c r="O399" s="203"/>
      <c r="P399" s="203"/>
      <c r="Q399" s="203"/>
    </row>
    <row r="400" spans="1:17" s="25" customFormat="1" x14ac:dyDescent="0.25">
      <c r="A400" s="196" t="s">
        <v>22</v>
      </c>
      <c r="B400" s="197" t="s">
        <v>27</v>
      </c>
      <c r="C400" s="197">
        <v>88243</v>
      </c>
      <c r="D400" s="197"/>
      <c r="E400" s="198" t="s">
        <v>306</v>
      </c>
      <c r="F400" s="197" t="s">
        <v>29</v>
      </c>
      <c r="G400" s="209">
        <v>0.27800000000000002</v>
      </c>
      <c r="H400" s="199">
        <v>22.72</v>
      </c>
      <c r="I400" s="199" t="s">
        <v>1193</v>
      </c>
      <c r="J400" s="199">
        <f>0.2711*H400*G400</f>
        <v>1.7123109759999999</v>
      </c>
      <c r="K400" s="199">
        <f>0.7288*H400*G400</f>
        <v>4.6032174080000008</v>
      </c>
      <c r="L400" s="199"/>
      <c r="M400" s="199"/>
      <c r="N400" s="199"/>
      <c r="O400" s="199"/>
      <c r="P400" s="199"/>
      <c r="Q400" s="199"/>
    </row>
    <row r="401" spans="1:17" s="25" customFormat="1" ht="30" x14ac:dyDescent="0.25">
      <c r="A401" s="200" t="s">
        <v>22</v>
      </c>
      <c r="B401" s="201" t="s">
        <v>62</v>
      </c>
      <c r="C401" s="201">
        <v>511</v>
      </c>
      <c r="D401" s="201"/>
      <c r="E401" s="204" t="s">
        <v>319</v>
      </c>
      <c r="F401" s="201" t="s">
        <v>316</v>
      </c>
      <c r="G401" s="231">
        <v>0.61460000000000004</v>
      </c>
      <c r="H401" s="203">
        <v>10.86</v>
      </c>
      <c r="I401" s="203" t="s">
        <v>1193</v>
      </c>
      <c r="J401" s="203">
        <f t="shared" ref="J401:J404" si="27">G401*H401</f>
        <v>6.6745559999999999</v>
      </c>
      <c r="K401" s="203"/>
      <c r="L401" s="203"/>
      <c r="M401" s="203"/>
      <c r="N401" s="203"/>
      <c r="O401" s="203"/>
      <c r="P401" s="203"/>
      <c r="Q401" s="203"/>
    </row>
    <row r="402" spans="1:17" s="25" customFormat="1" ht="30" x14ac:dyDescent="0.25">
      <c r="A402" s="196" t="s">
        <v>22</v>
      </c>
      <c r="B402" s="197" t="s">
        <v>62</v>
      </c>
      <c r="C402" s="197">
        <v>4014</v>
      </c>
      <c r="D402" s="197"/>
      <c r="E402" s="207" t="s">
        <v>320</v>
      </c>
      <c r="F402" s="197" t="s">
        <v>33</v>
      </c>
      <c r="G402" s="209">
        <v>1.1248</v>
      </c>
      <c r="H402" s="199">
        <v>42.65</v>
      </c>
      <c r="I402" s="199" t="s">
        <v>1193</v>
      </c>
      <c r="J402" s="199">
        <f t="shared" si="27"/>
        <v>47.972720000000002</v>
      </c>
      <c r="K402" s="199"/>
      <c r="L402" s="199"/>
      <c r="M402" s="199"/>
      <c r="N402" s="199"/>
      <c r="O402" s="199"/>
      <c r="P402" s="199"/>
      <c r="Q402" s="199"/>
    </row>
    <row r="403" spans="1:17" s="25" customFormat="1" ht="30" x14ac:dyDescent="0.25">
      <c r="A403" s="200" t="s">
        <v>22</v>
      </c>
      <c r="B403" s="201" t="s">
        <v>62</v>
      </c>
      <c r="C403" s="201">
        <v>4015</v>
      </c>
      <c r="D403" s="201"/>
      <c r="E403" s="204" t="s">
        <v>321</v>
      </c>
      <c r="F403" s="201" t="s">
        <v>33</v>
      </c>
      <c r="G403" s="231">
        <v>1.125</v>
      </c>
      <c r="H403" s="199">
        <v>52.37</v>
      </c>
      <c r="I403" s="203" t="s">
        <v>1193</v>
      </c>
      <c r="J403" s="203">
        <f t="shared" si="27"/>
        <v>58.916249999999998</v>
      </c>
      <c r="K403" s="203"/>
      <c r="L403" s="203"/>
      <c r="M403" s="203"/>
      <c r="N403" s="203"/>
      <c r="O403" s="203"/>
      <c r="P403" s="203"/>
      <c r="Q403" s="203"/>
    </row>
    <row r="404" spans="1:17" s="25" customFormat="1" x14ac:dyDescent="0.25">
      <c r="A404" s="196" t="s">
        <v>22</v>
      </c>
      <c r="B404" s="197" t="s">
        <v>62</v>
      </c>
      <c r="C404" s="197">
        <v>4226</v>
      </c>
      <c r="D404" s="197"/>
      <c r="E404" s="207" t="s">
        <v>322</v>
      </c>
      <c r="F404" s="197" t="s">
        <v>64</v>
      </c>
      <c r="G404" s="209">
        <v>0.51900000000000002</v>
      </c>
      <c r="H404" s="199">
        <v>7.28</v>
      </c>
      <c r="I404" s="199" t="s">
        <v>1193</v>
      </c>
      <c r="J404" s="199">
        <f t="shared" si="27"/>
        <v>3.7783200000000003</v>
      </c>
      <c r="K404" s="199"/>
      <c r="L404" s="199"/>
      <c r="M404" s="199"/>
      <c r="N404" s="199"/>
      <c r="O404" s="199"/>
      <c r="P404" s="199"/>
      <c r="Q404" s="199"/>
    </row>
    <row r="405" spans="1:17" s="25" customFormat="1" x14ac:dyDescent="0.25">
      <c r="A405" s="163"/>
      <c r="B405" s="101"/>
      <c r="C405" s="101"/>
      <c r="D405" s="101"/>
      <c r="E405" s="102"/>
      <c r="F405" s="101"/>
      <c r="G405" s="96"/>
      <c r="H405" s="96"/>
      <c r="I405" s="96" t="s">
        <v>1193</v>
      </c>
      <c r="J405" s="96"/>
      <c r="K405" s="96"/>
      <c r="L405" s="96"/>
      <c r="M405" s="96"/>
      <c r="N405" s="96"/>
      <c r="O405" s="96"/>
      <c r="P405" s="96"/>
      <c r="Q405" s="96"/>
    </row>
    <row r="406" spans="1:17" s="25" customFormat="1" ht="30" x14ac:dyDescent="0.25">
      <c r="A406" s="149" t="s">
        <v>22</v>
      </c>
      <c r="B406" s="148"/>
      <c r="C406" s="148">
        <v>94226</v>
      </c>
      <c r="D406" s="143" t="s">
        <v>323</v>
      </c>
      <c r="E406" s="144" t="s">
        <v>324</v>
      </c>
      <c r="F406" s="143" t="s">
        <v>33</v>
      </c>
      <c r="G406" s="146"/>
      <c r="H406" s="146"/>
      <c r="I406" s="146">
        <v>0.67</v>
      </c>
      <c r="J406" s="146">
        <f>SUM(J407:J412)</f>
        <v>11.362704747</v>
      </c>
      <c r="K406" s="146">
        <f>SUM(K407:K412)</f>
        <v>5.3932252809999994</v>
      </c>
      <c r="L406" s="146">
        <f>J406+K406</f>
        <v>16.755930028000002</v>
      </c>
      <c r="M406" s="146">
        <f>J406*I406</f>
        <v>7.6130121804900011</v>
      </c>
      <c r="N406" s="146">
        <f>K406*I406</f>
        <v>3.6134609382699998</v>
      </c>
      <c r="O406" s="146">
        <f>M406+N406</f>
        <v>11.226473118760001</v>
      </c>
      <c r="P406" s="146">
        <f>O406*$P$1</f>
        <v>2.8807130022738163</v>
      </c>
      <c r="Q406" s="146">
        <f>P406+O406</f>
        <v>14.107186121033818</v>
      </c>
    </row>
    <row r="407" spans="1:17" s="25" customFormat="1" x14ac:dyDescent="0.25">
      <c r="A407" s="200" t="s">
        <v>22</v>
      </c>
      <c r="B407" s="201" t="s">
        <v>27</v>
      </c>
      <c r="C407" s="201">
        <v>88323</v>
      </c>
      <c r="D407" s="201"/>
      <c r="E407" s="202" t="s">
        <v>53</v>
      </c>
      <c r="F407" s="201" t="s">
        <v>29</v>
      </c>
      <c r="G407" s="203">
        <v>0.183</v>
      </c>
      <c r="H407" s="203">
        <v>22.84</v>
      </c>
      <c r="I407" s="203" t="s">
        <v>1193</v>
      </c>
      <c r="J407" s="203">
        <f>0.27*H407*G407</f>
        <v>1.1285244000000001</v>
      </c>
      <c r="K407" s="203">
        <f>0.7299*H407*G407</f>
        <v>3.0507776279999996</v>
      </c>
      <c r="L407" s="203"/>
      <c r="M407" s="203"/>
      <c r="N407" s="203"/>
      <c r="O407" s="203"/>
      <c r="P407" s="203"/>
      <c r="Q407" s="203"/>
    </row>
    <row r="408" spans="1:17" s="25" customFormat="1" x14ac:dyDescent="0.25">
      <c r="A408" s="196" t="s">
        <v>22</v>
      </c>
      <c r="B408" s="197" t="s">
        <v>27</v>
      </c>
      <c r="C408" s="197">
        <v>88316</v>
      </c>
      <c r="D408" s="197"/>
      <c r="E408" s="198" t="s">
        <v>30</v>
      </c>
      <c r="F408" s="197" t="s">
        <v>29</v>
      </c>
      <c r="G408" s="199">
        <v>0.183</v>
      </c>
      <c r="H408" s="203">
        <v>18.899999999999999</v>
      </c>
      <c r="I408" s="199" t="s">
        <v>1193</v>
      </c>
      <c r="J408" s="199">
        <f>0.3242*H408*G408</f>
        <v>1.1213105399999999</v>
      </c>
      <c r="K408" s="199">
        <f>0.6758*H408*G408</f>
        <v>2.3373894599999998</v>
      </c>
      <c r="L408" s="199"/>
      <c r="M408" s="199"/>
      <c r="N408" s="199"/>
      <c r="O408" s="199"/>
      <c r="P408" s="199"/>
      <c r="Q408" s="199"/>
    </row>
    <row r="409" spans="1:17" s="25" customFormat="1" ht="30" x14ac:dyDescent="0.25">
      <c r="A409" s="200" t="s">
        <v>22</v>
      </c>
      <c r="B409" s="201" t="s">
        <v>27</v>
      </c>
      <c r="C409" s="201">
        <v>93281</v>
      </c>
      <c r="D409" s="201"/>
      <c r="E409" s="204" t="s">
        <v>247</v>
      </c>
      <c r="F409" s="201" t="s">
        <v>285</v>
      </c>
      <c r="G409" s="232">
        <v>1E-4</v>
      </c>
      <c r="H409" s="203">
        <v>22.34</v>
      </c>
      <c r="I409" s="203" t="s">
        <v>1193</v>
      </c>
      <c r="J409" s="203">
        <f>0.2193*G409*H409</f>
        <v>4.8991620000000003E-4</v>
      </c>
      <c r="K409" s="203">
        <f>(1-0.2193)*G409*H409</f>
        <v>1.7440838000000001E-3</v>
      </c>
      <c r="L409" s="203"/>
      <c r="M409" s="203"/>
      <c r="N409" s="203"/>
      <c r="O409" s="203"/>
      <c r="P409" s="203"/>
      <c r="Q409" s="203"/>
    </row>
    <row r="410" spans="1:17" s="25" customFormat="1" ht="30" x14ac:dyDescent="0.25">
      <c r="A410" s="196" t="s">
        <v>22</v>
      </c>
      <c r="B410" s="197" t="s">
        <v>27</v>
      </c>
      <c r="C410" s="197">
        <v>93282</v>
      </c>
      <c r="D410" s="197"/>
      <c r="E410" s="207" t="s">
        <v>248</v>
      </c>
      <c r="F410" s="197" t="s">
        <v>286</v>
      </c>
      <c r="G410" s="233">
        <v>2.0000000000000001E-4</v>
      </c>
      <c r="H410" s="199">
        <v>21.47</v>
      </c>
      <c r="I410" s="199" t="s">
        <v>1193</v>
      </c>
      <c r="J410" s="199">
        <f>0.2282*G410*H410</f>
        <v>9.7989079999999981E-4</v>
      </c>
      <c r="K410" s="199">
        <f>(1-0.2282)*G410*H410</f>
        <v>3.3141092E-3</v>
      </c>
      <c r="L410" s="199"/>
      <c r="M410" s="199"/>
      <c r="N410" s="199"/>
      <c r="O410" s="199"/>
      <c r="P410" s="199"/>
      <c r="Q410" s="199"/>
    </row>
    <row r="411" spans="1:17" s="25" customFormat="1" x14ac:dyDescent="0.25">
      <c r="A411" s="200" t="s">
        <v>22</v>
      </c>
      <c r="B411" s="201" t="s">
        <v>62</v>
      </c>
      <c r="C411" s="201">
        <v>42528</v>
      </c>
      <c r="D411" s="201"/>
      <c r="E411" s="202" t="s">
        <v>325</v>
      </c>
      <c r="F411" s="201" t="s">
        <v>33</v>
      </c>
      <c r="G411" s="203">
        <v>1.18</v>
      </c>
      <c r="H411" s="199">
        <v>7.11</v>
      </c>
      <c r="I411" s="203" t="s">
        <v>1193</v>
      </c>
      <c r="J411" s="203">
        <f t="shared" ref="J411:J412" si="28">H411*G411</f>
        <v>8.3897999999999993</v>
      </c>
      <c r="K411" s="203"/>
      <c r="L411" s="203"/>
      <c r="M411" s="203"/>
      <c r="N411" s="203"/>
      <c r="O411" s="203"/>
      <c r="P411" s="203"/>
      <c r="Q411" s="203"/>
    </row>
    <row r="412" spans="1:17" s="25" customFormat="1" x14ac:dyDescent="0.25">
      <c r="A412" s="196" t="s">
        <v>22</v>
      </c>
      <c r="B412" s="197" t="s">
        <v>62</v>
      </c>
      <c r="C412" s="197">
        <v>42529</v>
      </c>
      <c r="D412" s="197"/>
      <c r="E412" s="198" t="s">
        <v>326</v>
      </c>
      <c r="F412" s="197" t="s">
        <v>39</v>
      </c>
      <c r="G412" s="199">
        <v>0.88</v>
      </c>
      <c r="H412" s="199">
        <v>0.82</v>
      </c>
      <c r="I412" s="199" t="s">
        <v>1193</v>
      </c>
      <c r="J412" s="199">
        <f t="shared" si="28"/>
        <v>0.72159999999999991</v>
      </c>
      <c r="K412" s="199"/>
      <c r="L412" s="199"/>
      <c r="M412" s="199"/>
      <c r="N412" s="199"/>
      <c r="O412" s="199"/>
      <c r="P412" s="199"/>
      <c r="Q412" s="199"/>
    </row>
    <row r="413" spans="1:17" s="25" customFormat="1" x14ac:dyDescent="0.25">
      <c r="A413" s="163"/>
      <c r="B413" s="101"/>
      <c r="C413" s="101"/>
      <c r="D413" s="101"/>
      <c r="E413" s="102"/>
      <c r="F413" s="101"/>
      <c r="G413" s="96"/>
      <c r="H413" s="96"/>
      <c r="I413" s="96" t="s">
        <v>1193</v>
      </c>
      <c r="J413" s="96"/>
      <c r="K413" s="96"/>
      <c r="L413" s="96"/>
      <c r="M413" s="96"/>
      <c r="N413" s="96"/>
      <c r="O413" s="96"/>
      <c r="P413" s="96"/>
      <c r="Q413" s="96"/>
    </row>
    <row r="414" spans="1:17" s="25" customFormat="1" ht="15.75" x14ac:dyDescent="0.25">
      <c r="A414" s="136"/>
      <c r="B414" s="97"/>
      <c r="C414" s="97"/>
      <c r="D414" s="97">
        <v>9</v>
      </c>
      <c r="E414" s="98" t="s">
        <v>327</v>
      </c>
      <c r="F414" s="97"/>
      <c r="G414" s="97"/>
      <c r="H414" s="330"/>
      <c r="I414" s="97" t="s">
        <v>1193</v>
      </c>
      <c r="J414" s="330"/>
      <c r="K414" s="330"/>
      <c r="L414" s="330"/>
      <c r="M414" s="330"/>
      <c r="N414" s="330"/>
      <c r="O414" s="330"/>
      <c r="P414" s="330"/>
      <c r="Q414" s="330">
        <f>SUM(Q416:Q512)</f>
        <v>21573.108509446658</v>
      </c>
    </row>
    <row r="415" spans="1:17" s="25" customFormat="1" x14ac:dyDescent="0.25">
      <c r="A415" s="163"/>
      <c r="B415" s="101"/>
      <c r="C415" s="101"/>
      <c r="D415" s="101"/>
      <c r="E415" s="102"/>
      <c r="F415" s="101"/>
      <c r="G415" s="96"/>
      <c r="H415" s="96"/>
      <c r="I415" s="96" t="s">
        <v>1193</v>
      </c>
      <c r="J415" s="96"/>
      <c r="K415" s="96"/>
      <c r="L415" s="96"/>
      <c r="M415" s="96"/>
      <c r="N415" s="96"/>
      <c r="O415" s="96"/>
      <c r="P415" s="96"/>
      <c r="Q415" s="96"/>
    </row>
    <row r="416" spans="1:17" s="25" customFormat="1" ht="225.6" customHeight="1" x14ac:dyDescent="0.25">
      <c r="A416" s="157" t="s">
        <v>877</v>
      </c>
      <c r="B416" s="148"/>
      <c r="C416" s="148" t="s">
        <v>328</v>
      </c>
      <c r="D416" s="143" t="s">
        <v>329</v>
      </c>
      <c r="E416" s="144" t="s">
        <v>330</v>
      </c>
      <c r="F416" s="143" t="s">
        <v>1215</v>
      </c>
      <c r="G416" s="146"/>
      <c r="H416" s="340">
        <f>'MAPA COTAÇÕES CIVIL'!$I$9</f>
        <v>689.61</v>
      </c>
      <c r="I416" s="146">
        <v>1</v>
      </c>
      <c r="J416" s="146">
        <f>H416</f>
        <v>689.61</v>
      </c>
      <c r="K416" s="146">
        <f>J416*0.25</f>
        <v>172.4025</v>
      </c>
      <c r="L416" s="146">
        <f>J416+K416</f>
        <v>862.01250000000005</v>
      </c>
      <c r="M416" s="146">
        <f>J416*I416</f>
        <v>689.61</v>
      </c>
      <c r="N416" s="146">
        <f>K416*I416</f>
        <v>172.4025</v>
      </c>
      <c r="O416" s="146">
        <f>M416+N416</f>
        <v>862.01250000000005</v>
      </c>
      <c r="P416" s="146">
        <f>O416*$P$1</f>
        <v>221.1924075</v>
      </c>
      <c r="Q416" s="146">
        <f>P416+O416</f>
        <v>1083.2049075</v>
      </c>
    </row>
    <row r="417" spans="1:18" s="25" customFormat="1" x14ac:dyDescent="0.25">
      <c r="A417" s="163"/>
      <c r="B417" s="101"/>
      <c r="C417" s="101"/>
      <c r="D417" s="101"/>
      <c r="E417" s="102"/>
      <c r="F417" s="101"/>
      <c r="G417" s="96"/>
      <c r="H417" s="96"/>
      <c r="I417" s="96" t="s">
        <v>1193</v>
      </c>
      <c r="J417" s="96"/>
      <c r="K417" s="96"/>
      <c r="L417" s="96"/>
      <c r="M417" s="96"/>
      <c r="N417" s="96"/>
      <c r="O417" s="96"/>
      <c r="P417" s="96"/>
      <c r="Q417" s="96"/>
    </row>
    <row r="418" spans="1:18" s="25" customFormat="1" ht="208.15" customHeight="1" x14ac:dyDescent="0.25">
      <c r="A418" s="157" t="s">
        <v>877</v>
      </c>
      <c r="B418" s="148"/>
      <c r="C418" s="148" t="s">
        <v>331</v>
      </c>
      <c r="D418" s="143" t="s">
        <v>332</v>
      </c>
      <c r="E418" s="144" t="s">
        <v>333</v>
      </c>
      <c r="F418" s="143" t="s">
        <v>1215</v>
      </c>
      <c r="G418" s="146"/>
      <c r="H418" s="340">
        <f>'MAPA COTAÇÕES CIVIL'!$H$10</f>
        <v>1771.2966666666669</v>
      </c>
      <c r="I418" s="146">
        <v>1</v>
      </c>
      <c r="J418" s="146">
        <f>H418</f>
        <v>1771.2966666666669</v>
      </c>
      <c r="K418" s="146">
        <f>J418*0.25</f>
        <v>442.82416666666671</v>
      </c>
      <c r="L418" s="146">
        <f>J418+K418</f>
        <v>2214.1208333333334</v>
      </c>
      <c r="M418" s="146">
        <f>J418*I418</f>
        <v>1771.2966666666669</v>
      </c>
      <c r="N418" s="146">
        <f>K418*I418</f>
        <v>442.82416666666671</v>
      </c>
      <c r="O418" s="146">
        <f>M418+N418</f>
        <v>2214.1208333333334</v>
      </c>
      <c r="P418" s="146">
        <f>O418*$P$1</f>
        <v>568.1434058333333</v>
      </c>
      <c r="Q418" s="146">
        <f>P418+O418</f>
        <v>2782.2642391666668</v>
      </c>
    </row>
    <row r="419" spans="1:18" s="25" customFormat="1" x14ac:dyDescent="0.25">
      <c r="A419" s="163"/>
      <c r="B419" s="101"/>
      <c r="C419" s="101"/>
      <c r="D419" s="101"/>
      <c r="E419" s="102"/>
      <c r="F419" s="101"/>
      <c r="G419" s="96"/>
      <c r="H419" s="96"/>
      <c r="I419" s="96" t="s">
        <v>1193</v>
      </c>
      <c r="J419" s="96"/>
      <c r="K419" s="96"/>
      <c r="L419" s="96"/>
      <c r="M419" s="96"/>
      <c r="N419" s="96"/>
      <c r="O419" s="96"/>
      <c r="P419" s="96"/>
      <c r="Q419" s="96"/>
    </row>
    <row r="420" spans="1:18" s="25" customFormat="1" ht="205.9" customHeight="1" x14ac:dyDescent="0.25">
      <c r="A420" s="157" t="s">
        <v>71</v>
      </c>
      <c r="B420" s="148"/>
      <c r="C420" s="148" t="s">
        <v>334</v>
      </c>
      <c r="D420" s="143" t="s">
        <v>335</v>
      </c>
      <c r="E420" s="144" t="s">
        <v>336</v>
      </c>
      <c r="F420" s="143" t="s">
        <v>1215</v>
      </c>
      <c r="G420" s="146"/>
      <c r="H420" s="340">
        <f>'MAPA COTAÇÕES CIVIL'!$I$11</f>
        <v>738.06</v>
      </c>
      <c r="I420" s="146">
        <v>1</v>
      </c>
      <c r="J420" s="146">
        <f>H420</f>
        <v>738.06</v>
      </c>
      <c r="K420" s="146">
        <f>J420*0.25</f>
        <v>184.51499999999999</v>
      </c>
      <c r="L420" s="146">
        <f>J420+K420</f>
        <v>922.57499999999993</v>
      </c>
      <c r="M420" s="146">
        <f>J420*I420</f>
        <v>738.06</v>
      </c>
      <c r="N420" s="146">
        <f>K420*I420</f>
        <v>184.51499999999999</v>
      </c>
      <c r="O420" s="146">
        <f>M420+N420</f>
        <v>922.57499999999993</v>
      </c>
      <c r="P420" s="146">
        <f>O420*$P$1</f>
        <v>236.73274499999997</v>
      </c>
      <c r="Q420" s="146">
        <f>P420+O420</f>
        <v>1159.3077449999998</v>
      </c>
    </row>
    <row r="421" spans="1:18" s="25" customFormat="1" x14ac:dyDescent="0.25">
      <c r="A421" s="163"/>
      <c r="B421" s="101"/>
      <c r="C421" s="101"/>
      <c r="D421" s="101"/>
      <c r="E421" s="102"/>
      <c r="F421" s="101"/>
      <c r="G421" s="96"/>
      <c r="H421" s="96"/>
      <c r="I421" s="96" t="s">
        <v>1193</v>
      </c>
      <c r="J421" s="96"/>
      <c r="K421" s="96"/>
      <c r="L421" s="96"/>
      <c r="M421" s="96"/>
      <c r="N421" s="96"/>
      <c r="O421" s="96"/>
      <c r="P421" s="96"/>
      <c r="Q421" s="96"/>
    </row>
    <row r="422" spans="1:18" s="189" customFormat="1" ht="15.75" x14ac:dyDescent="0.25">
      <c r="A422" s="183"/>
      <c r="B422" s="184"/>
      <c r="C422" s="184"/>
      <c r="D422" s="185"/>
      <c r="E422" s="186" t="s">
        <v>337</v>
      </c>
      <c r="F422" s="185"/>
      <c r="G422" s="187"/>
      <c r="H422" s="188"/>
      <c r="I422" s="187" t="s">
        <v>1193</v>
      </c>
      <c r="J422" s="187"/>
      <c r="K422" s="187"/>
      <c r="L422" s="187"/>
      <c r="M422" s="187"/>
      <c r="N422" s="187"/>
      <c r="O422" s="187"/>
      <c r="P422" s="188"/>
      <c r="Q422" s="188"/>
      <c r="R422" s="25"/>
    </row>
    <row r="423" spans="1:18" s="25" customFormat="1" ht="45" x14ac:dyDescent="0.25">
      <c r="A423" s="149" t="s">
        <v>22</v>
      </c>
      <c r="B423" s="148"/>
      <c r="C423" s="148" t="s">
        <v>338</v>
      </c>
      <c r="D423" s="143" t="s">
        <v>339</v>
      </c>
      <c r="E423" s="144" t="s">
        <v>340</v>
      </c>
      <c r="F423" s="143" t="s">
        <v>1215</v>
      </c>
      <c r="G423" s="146"/>
      <c r="H423" s="146"/>
      <c r="I423" s="146">
        <v>1</v>
      </c>
      <c r="J423" s="146">
        <f>SUM(J424:J427)</f>
        <v>897.32991300000003</v>
      </c>
      <c r="K423" s="146">
        <f>SUM(K424:K427)</f>
        <v>191.2482</v>
      </c>
      <c r="L423" s="146">
        <f>J423+K423</f>
        <v>1088.578113</v>
      </c>
      <c r="M423" s="146">
        <f>J423*I423</f>
        <v>897.32991300000003</v>
      </c>
      <c r="N423" s="146">
        <f>K423*I423</f>
        <v>191.2482</v>
      </c>
      <c r="O423" s="146">
        <f>M423+N423</f>
        <v>1088.578113</v>
      </c>
      <c r="P423" s="146">
        <f>O423*$P$1</f>
        <v>279.32914379580001</v>
      </c>
      <c r="Q423" s="146">
        <f>P423+O423</f>
        <v>1367.9072567958001</v>
      </c>
    </row>
    <row r="424" spans="1:18" s="25" customFormat="1" x14ac:dyDescent="0.25">
      <c r="A424" s="234" t="s">
        <v>22</v>
      </c>
      <c r="B424" s="197" t="s">
        <v>27</v>
      </c>
      <c r="C424" s="235">
        <v>90806</v>
      </c>
      <c r="D424" s="197"/>
      <c r="E424" s="198" t="s">
        <v>341</v>
      </c>
      <c r="F424" s="197" t="s">
        <v>1215</v>
      </c>
      <c r="G424" s="199">
        <v>1</v>
      </c>
      <c r="H424" s="199">
        <v>371.45</v>
      </c>
      <c r="I424" s="199" t="s">
        <v>1193</v>
      </c>
      <c r="J424" s="199">
        <f>H424*G424*0.7082</f>
        <v>263.06089000000003</v>
      </c>
      <c r="K424" s="203">
        <f>0.2918*G424*H424</f>
        <v>108.38911</v>
      </c>
      <c r="L424" s="199"/>
      <c r="M424" s="199"/>
      <c r="N424" s="199"/>
      <c r="O424" s="199"/>
      <c r="P424" s="199"/>
      <c r="Q424" s="199"/>
    </row>
    <row r="425" spans="1:18" s="25" customFormat="1" ht="30" x14ac:dyDescent="0.25">
      <c r="A425" s="236" t="s">
        <v>22</v>
      </c>
      <c r="B425" s="205" t="s">
        <v>342</v>
      </c>
      <c r="C425" s="211">
        <v>90825</v>
      </c>
      <c r="D425" s="201"/>
      <c r="E425" s="237" t="s">
        <v>343</v>
      </c>
      <c r="F425" s="201" t="s">
        <v>1215</v>
      </c>
      <c r="G425" s="203">
        <v>1</v>
      </c>
      <c r="H425" s="203">
        <v>498.28</v>
      </c>
      <c r="I425" s="203" t="s">
        <v>1193</v>
      </c>
      <c r="J425" s="203">
        <f>0.8993*G425*H425</f>
        <v>448.10320399999995</v>
      </c>
      <c r="K425" s="203">
        <f>0.1007*G425*H425</f>
        <v>50.176795999999996</v>
      </c>
      <c r="L425" s="203"/>
      <c r="M425" s="203"/>
      <c r="N425" s="203"/>
      <c r="O425" s="203"/>
      <c r="P425" s="203"/>
      <c r="Q425" s="203"/>
    </row>
    <row r="426" spans="1:18" s="25" customFormat="1" x14ac:dyDescent="0.25">
      <c r="A426" s="234" t="s">
        <v>22</v>
      </c>
      <c r="B426" s="197" t="s">
        <v>27</v>
      </c>
      <c r="C426" s="235">
        <v>90830</v>
      </c>
      <c r="D426" s="197"/>
      <c r="E426" s="238" t="s">
        <v>344</v>
      </c>
      <c r="F426" s="197" t="s">
        <v>1215</v>
      </c>
      <c r="G426" s="199">
        <v>1</v>
      </c>
      <c r="H426" s="199">
        <v>131.66</v>
      </c>
      <c r="I426" s="199" t="s">
        <v>1193</v>
      </c>
      <c r="J426" s="199">
        <f>H426*G426*0.855</f>
        <v>112.5693</v>
      </c>
      <c r="K426" s="203">
        <f>0.1449*G426*H426</f>
        <v>19.077534</v>
      </c>
      <c r="L426" s="199"/>
      <c r="M426" s="199"/>
      <c r="N426" s="199"/>
      <c r="O426" s="199"/>
      <c r="P426" s="199"/>
      <c r="Q426" s="199"/>
    </row>
    <row r="427" spans="1:18" s="25" customFormat="1" x14ac:dyDescent="0.25">
      <c r="A427" s="236" t="s">
        <v>22</v>
      </c>
      <c r="B427" s="201" t="s">
        <v>27</v>
      </c>
      <c r="C427" s="239">
        <v>100659</v>
      </c>
      <c r="D427" s="201"/>
      <c r="E427" s="237" t="s">
        <v>345</v>
      </c>
      <c r="F427" s="201" t="s">
        <v>39</v>
      </c>
      <c r="G427" s="203">
        <v>10.199999999999999</v>
      </c>
      <c r="H427" s="203">
        <v>8.5500000000000007</v>
      </c>
      <c r="I427" s="203" t="s">
        <v>1193</v>
      </c>
      <c r="J427" s="203">
        <f>H427*G427*0.8439</f>
        <v>73.596519000000001</v>
      </c>
      <c r="K427" s="203">
        <f>0.156*G427*H427</f>
        <v>13.604760000000001</v>
      </c>
      <c r="L427" s="203"/>
      <c r="M427" s="203"/>
      <c r="N427" s="203"/>
      <c r="O427" s="203"/>
      <c r="P427" s="203"/>
      <c r="Q427" s="203"/>
    </row>
    <row r="428" spans="1:18" s="189" customFormat="1" x14ac:dyDescent="0.25">
      <c r="A428" s="159"/>
      <c r="B428" s="160"/>
      <c r="C428" s="160"/>
      <c r="D428" s="160"/>
      <c r="E428" s="161"/>
      <c r="F428" s="160"/>
      <c r="G428" s="162"/>
      <c r="H428" s="162"/>
      <c r="I428" s="162" t="s">
        <v>1193</v>
      </c>
      <c r="J428" s="162"/>
      <c r="K428" s="162"/>
      <c r="L428" s="162"/>
      <c r="M428" s="162"/>
      <c r="N428" s="162"/>
      <c r="O428" s="162"/>
      <c r="P428" s="162"/>
      <c r="Q428" s="162"/>
      <c r="R428" s="25"/>
    </row>
    <row r="429" spans="1:18" s="25" customFormat="1" ht="78" customHeight="1" x14ac:dyDescent="0.25">
      <c r="A429" s="149" t="s">
        <v>22</v>
      </c>
      <c r="B429" s="148"/>
      <c r="C429" s="148" t="s">
        <v>346</v>
      </c>
      <c r="D429" s="143" t="s">
        <v>347</v>
      </c>
      <c r="E429" s="144" t="s">
        <v>348</v>
      </c>
      <c r="F429" s="143" t="s">
        <v>1215</v>
      </c>
      <c r="G429" s="146"/>
      <c r="H429" s="146"/>
      <c r="I429" s="146">
        <v>1</v>
      </c>
      <c r="J429" s="146">
        <f>SUM(J430:J434)</f>
        <v>758.15080631599994</v>
      </c>
      <c r="K429" s="146">
        <f>SUM(K430:K434)</f>
        <v>28.405024416000007</v>
      </c>
      <c r="L429" s="146">
        <f>J429+K429</f>
        <v>786.555830732</v>
      </c>
      <c r="M429" s="146">
        <f>J429*I429</f>
        <v>758.15080631599994</v>
      </c>
      <c r="N429" s="146">
        <f>K429*I429</f>
        <v>28.405024416000007</v>
      </c>
      <c r="O429" s="146">
        <f>M429+N429</f>
        <v>786.555830732</v>
      </c>
      <c r="P429" s="146">
        <f>O429*$P$1</f>
        <v>201.83022616583119</v>
      </c>
      <c r="Q429" s="146">
        <f>P429+O429</f>
        <v>988.38605689783117</v>
      </c>
    </row>
    <row r="430" spans="1:18" s="25" customFormat="1" x14ac:dyDescent="0.25">
      <c r="A430" s="196" t="s">
        <v>22</v>
      </c>
      <c r="B430" s="197" t="s">
        <v>27</v>
      </c>
      <c r="C430" s="235">
        <v>88261</v>
      </c>
      <c r="D430" s="235"/>
      <c r="E430" s="238" t="s">
        <v>349</v>
      </c>
      <c r="F430" s="197" t="s">
        <v>29</v>
      </c>
      <c r="G430" s="199">
        <v>0.68700000000000006</v>
      </c>
      <c r="H430" s="199">
        <v>19.64</v>
      </c>
      <c r="I430" s="199" t="s">
        <v>1193</v>
      </c>
      <c r="J430" s="199">
        <f>0.2897*H430*G430</f>
        <v>3.9088293960000007</v>
      </c>
      <c r="K430" s="199">
        <f>0.7102*H430*G430</f>
        <v>9.5825013360000018</v>
      </c>
      <c r="L430" s="199"/>
      <c r="M430" s="199"/>
      <c r="N430" s="199"/>
      <c r="O430" s="199"/>
      <c r="P430" s="199"/>
      <c r="Q430" s="199"/>
    </row>
    <row r="431" spans="1:18" s="25" customFormat="1" x14ac:dyDescent="0.25">
      <c r="A431" s="200" t="s">
        <v>22</v>
      </c>
      <c r="B431" s="201" t="s">
        <v>27</v>
      </c>
      <c r="C431" s="239">
        <v>88316</v>
      </c>
      <c r="D431" s="239"/>
      <c r="E431" s="237" t="s">
        <v>30</v>
      </c>
      <c r="F431" s="201" t="s">
        <v>29</v>
      </c>
      <c r="G431" s="203">
        <v>0.33400000000000002</v>
      </c>
      <c r="H431" s="203">
        <v>18.899999999999999</v>
      </c>
      <c r="I431" s="203" t="s">
        <v>1193</v>
      </c>
      <c r="J431" s="203">
        <f>0.3242*H431*G431</f>
        <v>2.0465449200000001</v>
      </c>
      <c r="K431" s="203">
        <f>0.6758*H431*G431</f>
        <v>4.2660550799999992</v>
      </c>
      <c r="L431" s="203"/>
      <c r="M431" s="203"/>
      <c r="N431" s="203"/>
      <c r="O431" s="203"/>
      <c r="P431" s="203"/>
      <c r="Q431" s="203"/>
    </row>
    <row r="432" spans="1:18" s="25" customFormat="1" x14ac:dyDescent="0.25">
      <c r="A432" s="196" t="s">
        <v>22</v>
      </c>
      <c r="B432" s="197" t="s">
        <v>62</v>
      </c>
      <c r="C432" s="235">
        <v>38124</v>
      </c>
      <c r="D432" s="240"/>
      <c r="E432" s="238" t="s">
        <v>350</v>
      </c>
      <c r="F432" s="235" t="s">
        <v>1215</v>
      </c>
      <c r="G432" s="199">
        <v>1.1619999999999999</v>
      </c>
      <c r="H432" s="199">
        <v>24.95</v>
      </c>
      <c r="I432" s="199" t="s">
        <v>1193</v>
      </c>
      <c r="J432" s="199">
        <f t="shared" ref="J432:J433" si="29">H432*G432</f>
        <v>28.991899999999998</v>
      </c>
      <c r="K432" s="199"/>
      <c r="L432" s="199"/>
      <c r="M432" s="199"/>
      <c r="N432" s="199"/>
      <c r="O432" s="199"/>
      <c r="P432" s="199"/>
      <c r="Q432" s="199"/>
    </row>
    <row r="433" spans="1:18" s="25" customFormat="1" x14ac:dyDescent="0.25">
      <c r="A433" s="200" t="s">
        <v>22</v>
      </c>
      <c r="B433" s="201" t="s">
        <v>62</v>
      </c>
      <c r="C433" s="239">
        <v>39493</v>
      </c>
      <c r="D433" s="239"/>
      <c r="E433" s="237" t="s">
        <v>351</v>
      </c>
      <c r="F433" s="239" t="s">
        <v>1215</v>
      </c>
      <c r="G433" s="203">
        <v>1</v>
      </c>
      <c r="H433" s="199">
        <v>622.78</v>
      </c>
      <c r="I433" s="203" t="s">
        <v>1193</v>
      </c>
      <c r="J433" s="203">
        <f t="shared" si="29"/>
        <v>622.78</v>
      </c>
      <c r="K433" s="203"/>
      <c r="L433" s="203"/>
      <c r="M433" s="203"/>
      <c r="N433" s="203"/>
      <c r="O433" s="203"/>
      <c r="P433" s="203"/>
      <c r="Q433" s="203"/>
    </row>
    <row r="434" spans="1:18" s="25" customFormat="1" ht="45" x14ac:dyDescent="0.25">
      <c r="A434" s="196" t="s">
        <v>22</v>
      </c>
      <c r="B434" s="206" t="s">
        <v>352</v>
      </c>
      <c r="C434" s="235">
        <v>91306</v>
      </c>
      <c r="D434" s="240"/>
      <c r="E434" s="238" t="s">
        <v>353</v>
      </c>
      <c r="F434" s="235" t="s">
        <v>1215</v>
      </c>
      <c r="G434" s="241">
        <v>1</v>
      </c>
      <c r="H434" s="203">
        <v>114.98</v>
      </c>
      <c r="I434" s="199" t="s">
        <v>1193</v>
      </c>
      <c r="J434" s="199">
        <f>0.8734*G434*H434</f>
        <v>100.42353199999999</v>
      </c>
      <c r="K434" s="199">
        <f>(1-0.8734)*G434*H434</f>
        <v>14.556468000000006</v>
      </c>
      <c r="L434" s="199"/>
      <c r="M434" s="199"/>
      <c r="N434" s="199"/>
      <c r="O434" s="199"/>
      <c r="P434" s="199"/>
      <c r="Q434" s="199"/>
    </row>
    <row r="435" spans="1:18" s="189" customFormat="1" x14ac:dyDescent="0.25">
      <c r="A435" s="163"/>
      <c r="B435" s="101"/>
      <c r="C435" s="101"/>
      <c r="D435" s="101"/>
      <c r="E435" s="102"/>
      <c r="F435" s="101"/>
      <c r="G435" s="96"/>
      <c r="H435" s="96"/>
      <c r="I435" s="96" t="s">
        <v>1193</v>
      </c>
      <c r="J435" s="96"/>
      <c r="K435" s="96"/>
      <c r="L435" s="96"/>
      <c r="M435" s="96"/>
      <c r="N435" s="96"/>
      <c r="O435" s="96"/>
      <c r="P435" s="96"/>
      <c r="Q435" s="96"/>
      <c r="R435" s="25"/>
    </row>
    <row r="436" spans="1:18" s="25" customFormat="1" ht="30" x14ac:dyDescent="0.25">
      <c r="A436" s="149" t="s">
        <v>22</v>
      </c>
      <c r="B436" s="148"/>
      <c r="C436" s="148">
        <v>90844</v>
      </c>
      <c r="D436" s="143" t="s">
        <v>354</v>
      </c>
      <c r="E436" s="144" t="s">
        <v>355</v>
      </c>
      <c r="F436" s="143" t="s">
        <v>1215</v>
      </c>
      <c r="G436" s="146"/>
      <c r="H436" s="146"/>
      <c r="I436" s="146">
        <v>1</v>
      </c>
      <c r="J436" s="146">
        <f>SUM(J437:J440)</f>
        <v>751.23221810000007</v>
      </c>
      <c r="K436" s="146">
        <f>SUM(K437:K440)</f>
        <v>180.88465210000001</v>
      </c>
      <c r="L436" s="146">
        <f>J436+K436</f>
        <v>932.11687020000011</v>
      </c>
      <c r="M436" s="146">
        <f>J436*I436</f>
        <v>751.23221810000007</v>
      </c>
      <c r="N436" s="146">
        <f>K436*I436</f>
        <v>180.88465210000001</v>
      </c>
      <c r="O436" s="146">
        <f>M436+N436</f>
        <v>932.11687020000011</v>
      </c>
      <c r="P436" s="146">
        <f>O436*$P$1</f>
        <v>239.18118889332001</v>
      </c>
      <c r="Q436" s="146">
        <f>P436+O436</f>
        <v>1171.29805909332</v>
      </c>
    </row>
    <row r="437" spans="1:18" s="25" customFormat="1" x14ac:dyDescent="0.25">
      <c r="A437" s="200" t="s">
        <v>22</v>
      </c>
      <c r="B437" s="201" t="s">
        <v>27</v>
      </c>
      <c r="C437" s="239">
        <v>90806</v>
      </c>
      <c r="D437" s="240"/>
      <c r="E437" s="237" t="s">
        <v>341</v>
      </c>
      <c r="F437" s="239" t="s">
        <v>1215</v>
      </c>
      <c r="G437" s="225">
        <v>1</v>
      </c>
      <c r="H437" s="199">
        <v>371.45</v>
      </c>
      <c r="I437" s="203" t="s">
        <v>1193</v>
      </c>
      <c r="J437" s="203">
        <f>H437*G437*0.7082</f>
        <v>263.06089000000003</v>
      </c>
      <c r="K437" s="203">
        <f>G437*H437*0.29179</f>
        <v>108.3853955</v>
      </c>
      <c r="L437" s="203"/>
      <c r="M437" s="203"/>
      <c r="N437" s="203"/>
      <c r="O437" s="203"/>
      <c r="P437" s="203"/>
      <c r="Q437" s="203"/>
    </row>
    <row r="438" spans="1:18" s="25" customFormat="1" x14ac:dyDescent="0.25">
      <c r="A438" s="196" t="s">
        <v>22</v>
      </c>
      <c r="B438" s="197" t="s">
        <v>27</v>
      </c>
      <c r="C438" s="197">
        <v>90823</v>
      </c>
      <c r="D438" s="197"/>
      <c r="E438" s="238" t="s">
        <v>343</v>
      </c>
      <c r="F438" s="197" t="s">
        <v>1215</v>
      </c>
      <c r="G438" s="199">
        <v>1</v>
      </c>
      <c r="H438" s="199">
        <v>315.33</v>
      </c>
      <c r="I438" s="199" t="s">
        <v>1193</v>
      </c>
      <c r="J438" s="199">
        <f>H438*G438*0.88679</f>
        <v>279.63149069999997</v>
      </c>
      <c r="K438" s="199">
        <f>G438*H438*0.1132</f>
        <v>35.695355999999997</v>
      </c>
      <c r="L438" s="199"/>
      <c r="M438" s="199"/>
      <c r="N438" s="199"/>
      <c r="O438" s="199"/>
      <c r="P438" s="199"/>
      <c r="Q438" s="199"/>
    </row>
    <row r="439" spans="1:18" s="25" customFormat="1" x14ac:dyDescent="0.25">
      <c r="A439" s="200" t="s">
        <v>22</v>
      </c>
      <c r="B439" s="201" t="s">
        <v>27</v>
      </c>
      <c r="C439" s="201">
        <v>90830</v>
      </c>
      <c r="D439" s="201"/>
      <c r="E439" s="202" t="s">
        <v>344</v>
      </c>
      <c r="F439" s="201" t="s">
        <v>1215</v>
      </c>
      <c r="G439" s="203">
        <v>1</v>
      </c>
      <c r="H439" s="203">
        <v>133.66</v>
      </c>
      <c r="I439" s="203" t="s">
        <v>1193</v>
      </c>
      <c r="J439" s="203">
        <f>H439*G439*0.85504</f>
        <v>114.2846464</v>
      </c>
      <c r="K439" s="203">
        <f>G439*H439*0.14498</f>
        <v>19.378026800000001</v>
      </c>
      <c r="L439" s="203"/>
      <c r="M439" s="203"/>
      <c r="N439" s="203"/>
      <c r="O439" s="203"/>
      <c r="P439" s="203"/>
      <c r="Q439" s="203"/>
    </row>
    <row r="440" spans="1:18" s="25" customFormat="1" x14ac:dyDescent="0.25">
      <c r="A440" s="196" t="s">
        <v>22</v>
      </c>
      <c r="B440" s="197" t="s">
        <v>27</v>
      </c>
      <c r="C440" s="235">
        <v>100659</v>
      </c>
      <c r="D440" s="235"/>
      <c r="E440" s="238" t="s">
        <v>345</v>
      </c>
      <c r="F440" s="235" t="s">
        <v>39</v>
      </c>
      <c r="G440" s="241">
        <v>10.199999999999999</v>
      </c>
      <c r="H440" s="199">
        <v>10.95</v>
      </c>
      <c r="I440" s="199" t="s">
        <v>1193</v>
      </c>
      <c r="J440" s="199">
        <f>H440*G440*0.8439</f>
        <v>94.255190999999982</v>
      </c>
      <c r="K440" s="199">
        <f>G440*H440*0.15602</f>
        <v>17.425873799999998</v>
      </c>
      <c r="L440" s="199"/>
      <c r="M440" s="199"/>
      <c r="N440" s="199"/>
      <c r="O440" s="199"/>
      <c r="P440" s="199"/>
      <c r="Q440" s="199"/>
    </row>
    <row r="441" spans="1:18" s="189" customFormat="1" x14ac:dyDescent="0.25">
      <c r="A441" s="163"/>
      <c r="B441" s="101"/>
      <c r="C441" s="101"/>
      <c r="D441" s="101"/>
      <c r="E441" s="102"/>
      <c r="F441" s="101"/>
      <c r="G441" s="96"/>
      <c r="H441" s="96"/>
      <c r="I441" s="96" t="s">
        <v>1193</v>
      </c>
      <c r="J441" s="96"/>
      <c r="K441" s="96"/>
      <c r="L441" s="96"/>
      <c r="M441" s="96"/>
      <c r="N441" s="96"/>
      <c r="O441" s="96"/>
      <c r="P441" s="96"/>
      <c r="Q441" s="96"/>
      <c r="R441" s="25"/>
    </row>
    <row r="442" spans="1:18" s="25" customFormat="1" ht="93.6" customHeight="1" x14ac:dyDescent="0.25">
      <c r="A442" s="149" t="s">
        <v>22</v>
      </c>
      <c r="B442" s="148"/>
      <c r="C442" s="153">
        <v>90842</v>
      </c>
      <c r="D442" s="143" t="s">
        <v>356</v>
      </c>
      <c r="E442" s="144" t="s">
        <v>357</v>
      </c>
      <c r="F442" s="143" t="s">
        <v>33</v>
      </c>
      <c r="G442" s="146"/>
      <c r="H442" s="146"/>
      <c r="I442" s="146">
        <v>0.67</v>
      </c>
      <c r="J442" s="146">
        <f>SUM(J443:J446)</f>
        <v>1290.4287899999999</v>
      </c>
      <c r="K442" s="146">
        <f>SUM(K443:K446)</f>
        <v>331.57553460000003</v>
      </c>
      <c r="L442" s="146">
        <f>J442+K442</f>
        <v>1622.0043246</v>
      </c>
      <c r="M442" s="146">
        <f>J442*I442</f>
        <v>864.58728929999995</v>
      </c>
      <c r="N442" s="146">
        <f>K442*I442</f>
        <v>222.15560818200004</v>
      </c>
      <c r="O442" s="146">
        <f>M442+N442</f>
        <v>1086.742897482</v>
      </c>
      <c r="P442" s="146">
        <f>O442*$P$1</f>
        <v>278.8582274938812</v>
      </c>
      <c r="Q442" s="146">
        <f>P442+O442</f>
        <v>1365.6011249758812</v>
      </c>
    </row>
    <row r="443" spans="1:18" s="25" customFormat="1" x14ac:dyDescent="0.25">
      <c r="A443" s="200" t="s">
        <v>22</v>
      </c>
      <c r="B443" s="201" t="s">
        <v>27</v>
      </c>
      <c r="C443" s="239">
        <v>90806</v>
      </c>
      <c r="D443" s="240"/>
      <c r="E443" s="237" t="s">
        <v>341</v>
      </c>
      <c r="F443" s="239" t="s">
        <v>358</v>
      </c>
      <c r="G443" s="225">
        <v>2</v>
      </c>
      <c r="H443" s="199">
        <v>371.45</v>
      </c>
      <c r="I443" s="203" t="s">
        <v>1193</v>
      </c>
      <c r="J443" s="203">
        <f>H443*G443*0.7082</f>
        <v>526.12178000000006</v>
      </c>
      <c r="K443" s="203">
        <f>G443*H443*0.29179</f>
        <v>216.770791</v>
      </c>
      <c r="L443" s="203"/>
      <c r="M443" s="203"/>
      <c r="N443" s="203"/>
      <c r="O443" s="203"/>
      <c r="P443" s="203"/>
      <c r="Q443" s="203"/>
    </row>
    <row r="444" spans="1:18" s="25" customFormat="1" x14ac:dyDescent="0.25">
      <c r="A444" s="196" t="s">
        <v>22</v>
      </c>
      <c r="B444" s="197" t="s">
        <v>27</v>
      </c>
      <c r="C444" s="235">
        <v>90821</v>
      </c>
      <c r="D444" s="240"/>
      <c r="E444" s="238" t="s">
        <v>359</v>
      </c>
      <c r="F444" s="235" t="s">
        <v>1215</v>
      </c>
      <c r="G444" s="241">
        <v>2</v>
      </c>
      <c r="H444" s="199">
        <v>240.78</v>
      </c>
      <c r="I444" s="199" t="s">
        <v>1193</v>
      </c>
      <c r="J444" s="199">
        <f>H444*G444*0.8764</f>
        <v>422.03918399999998</v>
      </c>
      <c r="K444" s="199">
        <f>G444*H444*0.1237</f>
        <v>59.568972000000002</v>
      </c>
      <c r="L444" s="199"/>
      <c r="M444" s="199"/>
      <c r="N444" s="199"/>
      <c r="O444" s="199"/>
      <c r="P444" s="199"/>
      <c r="Q444" s="199"/>
    </row>
    <row r="445" spans="1:18" s="25" customFormat="1" x14ac:dyDescent="0.25">
      <c r="A445" s="200" t="s">
        <v>22</v>
      </c>
      <c r="B445" s="201" t="s">
        <v>27</v>
      </c>
      <c r="C445" s="239">
        <v>91306</v>
      </c>
      <c r="D445" s="240"/>
      <c r="E445" s="237" t="s">
        <v>353</v>
      </c>
      <c r="F445" s="239" t="s">
        <v>1215</v>
      </c>
      <c r="G445" s="225">
        <v>2</v>
      </c>
      <c r="H445" s="203">
        <v>114.98</v>
      </c>
      <c r="I445" s="203" t="s">
        <v>1193</v>
      </c>
      <c r="J445" s="203">
        <f>H445*G445*0.8734</f>
        <v>200.84706399999999</v>
      </c>
      <c r="K445" s="203">
        <f>G445*H445*0.1265</f>
        <v>29.089940000000002</v>
      </c>
      <c r="L445" s="203"/>
      <c r="M445" s="203"/>
      <c r="N445" s="203"/>
      <c r="O445" s="203"/>
      <c r="P445" s="203"/>
      <c r="Q445" s="203"/>
    </row>
    <row r="446" spans="1:18" s="25" customFormat="1" x14ac:dyDescent="0.25">
      <c r="A446" s="196" t="s">
        <v>22</v>
      </c>
      <c r="B446" s="197" t="s">
        <v>27</v>
      </c>
      <c r="C446" s="235">
        <v>100659</v>
      </c>
      <c r="D446" s="235"/>
      <c r="E446" s="238" t="s">
        <v>345</v>
      </c>
      <c r="F446" s="235" t="s">
        <v>39</v>
      </c>
      <c r="G446" s="241">
        <f>9.8*2</f>
        <v>19.600000000000001</v>
      </c>
      <c r="H446" s="199">
        <v>8.5500000000000007</v>
      </c>
      <c r="I446" s="199" t="s">
        <v>1193</v>
      </c>
      <c r="J446" s="199">
        <f>H446*G446*0.8439</f>
        <v>141.420762</v>
      </c>
      <c r="K446" s="199">
        <f>G446*H446*0.15602</f>
        <v>26.145831600000001</v>
      </c>
      <c r="L446" s="199"/>
      <c r="M446" s="199"/>
      <c r="N446" s="199"/>
      <c r="O446" s="199"/>
      <c r="P446" s="199"/>
      <c r="Q446" s="199"/>
    </row>
    <row r="447" spans="1:18" s="189" customFormat="1" x14ac:dyDescent="0.25">
      <c r="A447" s="163"/>
      <c r="B447" s="101"/>
      <c r="C447" s="101"/>
      <c r="D447" s="101"/>
      <c r="E447" s="102"/>
      <c r="F447" s="101"/>
      <c r="G447" s="96"/>
      <c r="H447" s="96"/>
      <c r="I447" s="96" t="s">
        <v>1193</v>
      </c>
      <c r="J447" s="96"/>
      <c r="K447" s="96"/>
      <c r="L447" s="96"/>
      <c r="M447" s="96"/>
      <c r="N447" s="96"/>
      <c r="O447" s="96"/>
      <c r="P447" s="96"/>
      <c r="Q447" s="96"/>
      <c r="R447" s="25"/>
    </row>
    <row r="448" spans="1:18" s="189" customFormat="1" ht="15.75" x14ac:dyDescent="0.25">
      <c r="A448" s="183"/>
      <c r="B448" s="184"/>
      <c r="C448" s="184"/>
      <c r="D448" s="185"/>
      <c r="E448" s="186" t="s">
        <v>360</v>
      </c>
      <c r="F448" s="185"/>
      <c r="G448" s="187"/>
      <c r="H448" s="188"/>
      <c r="I448" s="187" t="s">
        <v>1193</v>
      </c>
      <c r="J448" s="187"/>
      <c r="K448" s="187"/>
      <c r="L448" s="187"/>
      <c r="M448" s="187"/>
      <c r="N448" s="187"/>
      <c r="O448" s="187"/>
      <c r="P448" s="188"/>
      <c r="Q448" s="188"/>
      <c r="R448" s="25"/>
    </row>
    <row r="449" spans="1:17" s="25" customFormat="1" ht="81.599999999999994" customHeight="1" x14ac:dyDescent="0.25">
      <c r="A449" s="149" t="s">
        <v>22</v>
      </c>
      <c r="B449" s="148"/>
      <c r="C449" s="148">
        <v>94569</v>
      </c>
      <c r="D449" s="143" t="s">
        <v>361</v>
      </c>
      <c r="E449" s="144" t="s">
        <v>362</v>
      </c>
      <c r="F449" s="143" t="s">
        <v>33</v>
      </c>
      <c r="G449" s="146"/>
      <c r="H449" s="146"/>
      <c r="I449" s="146">
        <v>0.67</v>
      </c>
      <c r="J449" s="146">
        <f>SUM(J450:J454)</f>
        <v>484.55804034500005</v>
      </c>
      <c r="K449" s="146">
        <f>SUM(K450:K454)</f>
        <v>41.997837797999999</v>
      </c>
      <c r="L449" s="146">
        <f>J449+K449</f>
        <v>526.55587814300009</v>
      </c>
      <c r="M449" s="146">
        <f>J449*I449</f>
        <v>324.65388703115008</v>
      </c>
      <c r="N449" s="146">
        <f>K449*I449</f>
        <v>28.13855132466</v>
      </c>
      <c r="O449" s="146">
        <f>M449+N449</f>
        <v>352.79243835581008</v>
      </c>
      <c r="P449" s="146">
        <f>O449*$P$1</f>
        <v>90.526539682100861</v>
      </c>
      <c r="Q449" s="146">
        <f>P449+O449</f>
        <v>443.31897803791094</v>
      </c>
    </row>
    <row r="450" spans="1:17" s="25" customFormat="1" x14ac:dyDescent="0.25">
      <c r="A450" s="196" t="s">
        <v>22</v>
      </c>
      <c r="B450" s="197" t="s">
        <v>27</v>
      </c>
      <c r="C450" s="235">
        <v>88309</v>
      </c>
      <c r="D450" s="221"/>
      <c r="E450" s="238" t="s">
        <v>65</v>
      </c>
      <c r="F450" s="214" t="s">
        <v>29</v>
      </c>
      <c r="G450" s="216">
        <v>1.7070000000000001</v>
      </c>
      <c r="H450" s="199">
        <v>24.51</v>
      </c>
      <c r="I450" s="199" t="s">
        <v>1193</v>
      </c>
      <c r="J450" s="199">
        <f>0.2565*H450*G450</f>
        <v>10.731593205000001</v>
      </c>
      <c r="K450" s="199">
        <f>0.7434*H450*G450</f>
        <v>31.102792938</v>
      </c>
      <c r="L450" s="199"/>
      <c r="M450" s="199"/>
      <c r="N450" s="199"/>
      <c r="O450" s="199"/>
      <c r="P450" s="199"/>
      <c r="Q450" s="199"/>
    </row>
    <row r="451" spans="1:17" s="25" customFormat="1" x14ac:dyDescent="0.25">
      <c r="A451" s="200" t="s">
        <v>22</v>
      </c>
      <c r="B451" s="201" t="s">
        <v>27</v>
      </c>
      <c r="C451" s="239">
        <v>88316</v>
      </c>
      <c r="D451" s="222"/>
      <c r="E451" s="237" t="s">
        <v>30</v>
      </c>
      <c r="F451" s="211" t="s">
        <v>29</v>
      </c>
      <c r="G451" s="212">
        <v>0.85299999999999998</v>
      </c>
      <c r="H451" s="203">
        <v>18.899999999999999</v>
      </c>
      <c r="I451" s="203" t="s">
        <v>1193</v>
      </c>
      <c r="J451" s="203">
        <f>0.3242*H451*G451</f>
        <v>5.2266551399999992</v>
      </c>
      <c r="K451" s="203">
        <f>0.6758*H451*G451</f>
        <v>10.895044859999999</v>
      </c>
      <c r="L451" s="203"/>
      <c r="M451" s="203"/>
      <c r="N451" s="203"/>
      <c r="O451" s="203"/>
      <c r="P451" s="203"/>
      <c r="Q451" s="203"/>
    </row>
    <row r="452" spans="1:17" s="25" customFormat="1" ht="30" x14ac:dyDescent="0.25">
      <c r="A452" s="196" t="s">
        <v>22</v>
      </c>
      <c r="B452" s="197" t="s">
        <v>62</v>
      </c>
      <c r="C452" s="235">
        <v>34381</v>
      </c>
      <c r="D452" s="242"/>
      <c r="E452" s="334" t="s">
        <v>1209</v>
      </c>
      <c r="F452" s="214" t="s">
        <v>33</v>
      </c>
      <c r="G452" s="216">
        <v>1</v>
      </c>
      <c r="H452" s="199">
        <f>213.87/(0.8*0.6)</f>
        <v>445.5625</v>
      </c>
      <c r="I452" s="199" t="s">
        <v>1193</v>
      </c>
      <c r="J452" s="199">
        <f t="shared" ref="J452:J454" si="30">H452*G452</f>
        <v>445.5625</v>
      </c>
      <c r="K452" s="199"/>
      <c r="L452" s="199"/>
      <c r="M452" s="199"/>
      <c r="N452" s="199"/>
      <c r="O452" s="199"/>
      <c r="P452" s="199"/>
      <c r="Q452" s="199"/>
    </row>
    <row r="453" spans="1:17" s="25" customFormat="1" ht="30" x14ac:dyDescent="0.25">
      <c r="A453" s="200" t="s">
        <v>22</v>
      </c>
      <c r="B453" s="201" t="s">
        <v>62</v>
      </c>
      <c r="C453" s="239">
        <v>4377</v>
      </c>
      <c r="D453" s="242"/>
      <c r="E453" s="244" t="s">
        <v>363</v>
      </c>
      <c r="F453" s="211" t="s">
        <v>1215</v>
      </c>
      <c r="G453" s="212">
        <v>24.4</v>
      </c>
      <c r="H453" s="199">
        <v>0.19</v>
      </c>
      <c r="I453" s="203" t="s">
        <v>1193</v>
      </c>
      <c r="J453" s="203">
        <f t="shared" si="30"/>
        <v>4.6360000000000001</v>
      </c>
      <c r="K453" s="203"/>
      <c r="L453" s="203"/>
      <c r="M453" s="203"/>
      <c r="N453" s="203"/>
      <c r="O453" s="203"/>
      <c r="P453" s="203"/>
      <c r="Q453" s="203"/>
    </row>
    <row r="454" spans="1:17" s="25" customFormat="1" x14ac:dyDescent="0.25">
      <c r="A454" s="196" t="s">
        <v>22</v>
      </c>
      <c r="B454" s="197" t="s">
        <v>62</v>
      </c>
      <c r="C454" s="235">
        <v>39961</v>
      </c>
      <c r="D454" s="242"/>
      <c r="E454" s="238" t="s">
        <v>364</v>
      </c>
      <c r="F454" s="214" t="s">
        <v>1215</v>
      </c>
      <c r="G454" s="216">
        <v>1.2466999999999999</v>
      </c>
      <c r="H454" s="216">
        <v>14.76</v>
      </c>
      <c r="I454" s="199" t="s">
        <v>1193</v>
      </c>
      <c r="J454" s="199">
        <f t="shared" si="30"/>
        <v>18.401291999999998</v>
      </c>
      <c r="K454" s="199"/>
      <c r="L454" s="199"/>
      <c r="M454" s="199"/>
      <c r="N454" s="199"/>
      <c r="O454" s="199"/>
      <c r="P454" s="199"/>
      <c r="Q454" s="199"/>
    </row>
    <row r="455" spans="1:17" s="25" customFormat="1" x14ac:dyDescent="0.25">
      <c r="A455" s="163"/>
      <c r="B455" s="101"/>
      <c r="C455" s="101"/>
      <c r="D455" s="101"/>
      <c r="E455" s="102"/>
      <c r="F455" s="101"/>
      <c r="G455" s="96"/>
      <c r="H455" s="96"/>
      <c r="I455" s="96" t="s">
        <v>1193</v>
      </c>
      <c r="J455" s="96"/>
      <c r="K455" s="96"/>
      <c r="L455" s="96"/>
      <c r="M455" s="96"/>
      <c r="N455" s="96"/>
      <c r="O455" s="96"/>
      <c r="P455" s="96"/>
      <c r="Q455" s="96"/>
    </row>
    <row r="456" spans="1:17" s="25" customFormat="1" ht="82.9" customHeight="1" x14ac:dyDescent="0.25">
      <c r="A456" s="149" t="s">
        <v>22</v>
      </c>
      <c r="B456" s="148"/>
      <c r="C456" s="148" t="s">
        <v>365</v>
      </c>
      <c r="D456" s="143" t="s">
        <v>366</v>
      </c>
      <c r="E456" s="144" t="s">
        <v>367</v>
      </c>
      <c r="F456" s="143" t="s">
        <v>1215</v>
      </c>
      <c r="G456" s="146"/>
      <c r="H456" s="146"/>
      <c r="I456" s="146">
        <v>1</v>
      </c>
      <c r="J456" s="146">
        <f>SUM(J457:J462)</f>
        <v>1304.9258838000001</v>
      </c>
      <c r="K456" s="146">
        <f>SUM(K457:K462)</f>
        <v>110.9690032</v>
      </c>
      <c r="L456" s="146">
        <f>J456+K456</f>
        <v>1415.8948870000002</v>
      </c>
      <c r="M456" s="146">
        <f>J456*I456</f>
        <v>1304.9258838000001</v>
      </c>
      <c r="N456" s="146">
        <f>K456*I456</f>
        <v>110.9690032</v>
      </c>
      <c r="O456" s="146">
        <f>M456+N456</f>
        <v>1415.8948870000002</v>
      </c>
      <c r="P456" s="146">
        <f>O456*$P$1</f>
        <v>363.31862800420004</v>
      </c>
      <c r="Q456" s="146">
        <f>P456+O456</f>
        <v>1779.2135150042002</v>
      </c>
    </row>
    <row r="457" spans="1:17" s="25" customFormat="1" x14ac:dyDescent="0.25">
      <c r="A457" s="200" t="s">
        <v>22</v>
      </c>
      <c r="B457" s="201" t="s">
        <v>27</v>
      </c>
      <c r="C457" s="211">
        <v>88325</v>
      </c>
      <c r="D457" s="211"/>
      <c r="E457" s="223" t="s">
        <v>70</v>
      </c>
      <c r="F457" s="211" t="s">
        <v>29</v>
      </c>
      <c r="G457" s="212">
        <v>3.25</v>
      </c>
      <c r="H457" s="212">
        <v>28.04</v>
      </c>
      <c r="I457" s="203" t="s">
        <v>1193</v>
      </c>
      <c r="J457" s="203">
        <f>0.2251*H457*G457</f>
        <v>20.513362999999998</v>
      </c>
      <c r="K457" s="203">
        <f>0.7748*H457*G457</f>
        <v>70.607523999999998</v>
      </c>
      <c r="L457" s="203"/>
      <c r="M457" s="203"/>
      <c r="N457" s="203"/>
      <c r="O457" s="203"/>
      <c r="P457" s="203"/>
      <c r="Q457" s="203"/>
    </row>
    <row r="458" spans="1:17" s="25" customFormat="1" x14ac:dyDescent="0.25">
      <c r="A458" s="196" t="s">
        <v>22</v>
      </c>
      <c r="B458" s="197" t="s">
        <v>27</v>
      </c>
      <c r="C458" s="235">
        <v>88316</v>
      </c>
      <c r="D458" s="221"/>
      <c r="E458" s="238" t="s">
        <v>30</v>
      </c>
      <c r="F458" s="214" t="s">
        <v>29</v>
      </c>
      <c r="G458" s="216">
        <v>3.16</v>
      </c>
      <c r="H458" s="203">
        <v>18.899999999999999</v>
      </c>
      <c r="I458" s="199" t="s">
        <v>1193</v>
      </c>
      <c r="J458" s="199">
        <f>0.3242*H458*G458</f>
        <v>19.362520799999999</v>
      </c>
      <c r="K458" s="199">
        <f>0.6758*H458*G458</f>
        <v>40.361479199999998</v>
      </c>
      <c r="L458" s="199"/>
      <c r="M458" s="199"/>
      <c r="N458" s="199"/>
      <c r="O458" s="199"/>
      <c r="P458" s="199"/>
      <c r="Q458" s="199"/>
    </row>
    <row r="459" spans="1:17" s="25" customFormat="1" ht="45" x14ac:dyDescent="0.25">
      <c r="A459" s="200" t="s">
        <v>22</v>
      </c>
      <c r="B459" s="201" t="s">
        <v>62</v>
      </c>
      <c r="C459" s="211">
        <v>3104</v>
      </c>
      <c r="D459" s="211"/>
      <c r="E459" s="224" t="s">
        <v>368</v>
      </c>
      <c r="F459" s="211" t="s">
        <v>1215</v>
      </c>
      <c r="G459" s="212">
        <v>1</v>
      </c>
      <c r="H459" s="199">
        <v>117.54</v>
      </c>
      <c r="I459" s="203" t="s">
        <v>1193</v>
      </c>
      <c r="J459" s="203">
        <f t="shared" ref="J459:J462" si="31">H459*G459</f>
        <v>117.54</v>
      </c>
      <c r="K459" s="203"/>
      <c r="L459" s="203"/>
      <c r="M459" s="203"/>
      <c r="N459" s="203"/>
      <c r="O459" s="203"/>
      <c r="P459" s="203"/>
      <c r="Q459" s="203"/>
    </row>
    <row r="460" spans="1:17" s="25" customFormat="1" x14ac:dyDescent="0.25">
      <c r="A460" s="196" t="s">
        <v>22</v>
      </c>
      <c r="B460" s="197" t="s">
        <v>62</v>
      </c>
      <c r="C460" s="214">
        <v>5031</v>
      </c>
      <c r="D460" s="214"/>
      <c r="E460" s="245" t="s">
        <v>369</v>
      </c>
      <c r="F460" s="214" t="s">
        <v>33</v>
      </c>
      <c r="G460" s="216">
        <v>1.89</v>
      </c>
      <c r="H460" s="199">
        <v>260</v>
      </c>
      <c r="I460" s="199" t="s">
        <v>1193</v>
      </c>
      <c r="J460" s="199">
        <f t="shared" si="31"/>
        <v>491.4</v>
      </c>
      <c r="K460" s="199"/>
      <c r="L460" s="199"/>
      <c r="M460" s="199"/>
      <c r="N460" s="199"/>
      <c r="O460" s="199"/>
      <c r="P460" s="199"/>
      <c r="Q460" s="199"/>
    </row>
    <row r="461" spans="1:17" s="25" customFormat="1" x14ac:dyDescent="0.25">
      <c r="A461" s="200" t="s">
        <v>22</v>
      </c>
      <c r="B461" s="201" t="s">
        <v>62</v>
      </c>
      <c r="C461" s="211">
        <v>11499</v>
      </c>
      <c r="D461" s="211"/>
      <c r="E461" s="223" t="s">
        <v>370</v>
      </c>
      <c r="F461" s="211" t="s">
        <v>1215</v>
      </c>
      <c r="G461" s="212">
        <v>1</v>
      </c>
      <c r="H461" s="199">
        <v>633.47</v>
      </c>
      <c r="I461" s="203" t="s">
        <v>1193</v>
      </c>
      <c r="J461" s="203">
        <f t="shared" si="31"/>
        <v>633.47</v>
      </c>
      <c r="K461" s="203"/>
      <c r="L461" s="203"/>
      <c r="M461" s="203"/>
      <c r="N461" s="203"/>
      <c r="O461" s="203"/>
      <c r="P461" s="203"/>
      <c r="Q461" s="203"/>
    </row>
    <row r="462" spans="1:17" s="25" customFormat="1" x14ac:dyDescent="0.25">
      <c r="A462" s="196" t="s">
        <v>22</v>
      </c>
      <c r="B462" s="197" t="s">
        <v>62</v>
      </c>
      <c r="C462" s="214">
        <v>11522</v>
      </c>
      <c r="D462" s="214"/>
      <c r="E462" s="245" t="s">
        <v>371</v>
      </c>
      <c r="F462" s="214" t="s">
        <v>1215</v>
      </c>
      <c r="G462" s="216">
        <v>2</v>
      </c>
      <c r="H462" s="199">
        <v>11.32</v>
      </c>
      <c r="I462" s="199" t="s">
        <v>1193</v>
      </c>
      <c r="J462" s="199">
        <f t="shared" si="31"/>
        <v>22.64</v>
      </c>
      <c r="K462" s="199"/>
      <c r="L462" s="199"/>
      <c r="M462" s="199"/>
      <c r="N462" s="199"/>
      <c r="O462" s="199"/>
      <c r="P462" s="199"/>
      <c r="Q462" s="199"/>
    </row>
    <row r="463" spans="1:17" s="25" customFormat="1" x14ac:dyDescent="0.25">
      <c r="A463" s="163"/>
      <c r="B463" s="101"/>
      <c r="C463" s="101"/>
      <c r="D463" s="101"/>
      <c r="E463" s="102"/>
      <c r="F463" s="101"/>
      <c r="G463" s="96"/>
      <c r="H463" s="96"/>
      <c r="I463" s="96" t="s">
        <v>1193</v>
      </c>
      <c r="J463" s="96"/>
      <c r="K463" s="96"/>
      <c r="L463" s="96"/>
      <c r="M463" s="96"/>
      <c r="N463" s="96"/>
      <c r="O463" s="96"/>
      <c r="P463" s="96"/>
      <c r="Q463" s="96"/>
    </row>
    <row r="464" spans="1:17" s="25" customFormat="1" ht="81.599999999999994" customHeight="1" x14ac:dyDescent="0.25">
      <c r="A464" s="149" t="s">
        <v>22</v>
      </c>
      <c r="B464" s="148"/>
      <c r="C464" s="148" t="s">
        <v>372</v>
      </c>
      <c r="D464" s="143" t="s">
        <v>373</v>
      </c>
      <c r="E464" s="144" t="s">
        <v>374</v>
      </c>
      <c r="F464" s="143" t="s">
        <v>1215</v>
      </c>
      <c r="G464" s="146"/>
      <c r="H464" s="146"/>
      <c r="I464" s="146">
        <v>1</v>
      </c>
      <c r="J464" s="146">
        <f>SUM(J465:J470)</f>
        <v>2613.0246816399999</v>
      </c>
      <c r="K464" s="146">
        <f>SUM(K465:K470)</f>
        <v>230.77976331999997</v>
      </c>
      <c r="L464" s="146">
        <f>J464+K464</f>
        <v>2843.8044449599997</v>
      </c>
      <c r="M464" s="146">
        <f>J464*I464</f>
        <v>2613.0246816399999</v>
      </c>
      <c r="N464" s="146">
        <f>K464*I464</f>
        <v>230.77976331999997</v>
      </c>
      <c r="O464" s="146">
        <f>M464+N464</f>
        <v>2843.8044449599997</v>
      </c>
      <c r="P464" s="146">
        <f>O464*$P$1</f>
        <v>729.72022057673587</v>
      </c>
      <c r="Q464" s="146">
        <f>P464+O464</f>
        <v>3573.5246655367355</v>
      </c>
    </row>
    <row r="465" spans="1:17" s="25" customFormat="1" x14ac:dyDescent="0.25">
      <c r="A465" s="200" t="s">
        <v>22</v>
      </c>
      <c r="B465" s="201" t="s">
        <v>27</v>
      </c>
      <c r="C465" s="211">
        <v>88325</v>
      </c>
      <c r="D465" s="222"/>
      <c r="E465" s="223" t="s">
        <v>70</v>
      </c>
      <c r="F465" s="211" t="s">
        <v>29</v>
      </c>
      <c r="G465" s="212">
        <v>6.76</v>
      </c>
      <c r="H465" s="212">
        <v>28.04</v>
      </c>
      <c r="I465" s="203" t="s">
        <v>1193</v>
      </c>
      <c r="J465" s="203">
        <f>0.2251*H465*G465</f>
        <v>42.667795039999994</v>
      </c>
      <c r="K465" s="203">
        <f>0.7748*H465*G465</f>
        <v>146.86364992</v>
      </c>
      <c r="L465" s="203"/>
      <c r="M465" s="203"/>
      <c r="N465" s="203"/>
      <c r="O465" s="203"/>
      <c r="P465" s="203"/>
      <c r="Q465" s="203"/>
    </row>
    <row r="466" spans="1:17" s="25" customFormat="1" x14ac:dyDescent="0.25">
      <c r="A466" s="196" t="s">
        <v>22</v>
      </c>
      <c r="B466" s="197" t="s">
        <v>27</v>
      </c>
      <c r="C466" s="235">
        <v>88316</v>
      </c>
      <c r="D466" s="221"/>
      <c r="E466" s="238" t="s">
        <v>30</v>
      </c>
      <c r="F466" s="214" t="s">
        <v>29</v>
      </c>
      <c r="G466" s="216">
        <v>6.57</v>
      </c>
      <c r="H466" s="203">
        <v>18.899999999999999</v>
      </c>
      <c r="I466" s="199" t="s">
        <v>1193</v>
      </c>
      <c r="J466" s="199">
        <f>0.3242*H466*G466</f>
        <v>40.256886600000001</v>
      </c>
      <c r="K466" s="199">
        <f>0.6758*H466*G466</f>
        <v>83.916113399999986</v>
      </c>
      <c r="L466" s="199"/>
      <c r="M466" s="199"/>
      <c r="N466" s="199"/>
      <c r="O466" s="199"/>
      <c r="P466" s="199"/>
      <c r="Q466" s="199"/>
    </row>
    <row r="467" spans="1:17" s="25" customFormat="1" x14ac:dyDescent="0.25">
      <c r="A467" s="200" t="s">
        <v>22</v>
      </c>
      <c r="B467" s="201" t="s">
        <v>62</v>
      </c>
      <c r="C467" s="211">
        <v>3104</v>
      </c>
      <c r="D467" s="211"/>
      <c r="E467" s="223" t="s">
        <v>375</v>
      </c>
      <c r="F467" s="211" t="s">
        <v>1215</v>
      </c>
      <c r="G467" s="212">
        <v>2</v>
      </c>
      <c r="H467" s="199">
        <v>117.54</v>
      </c>
      <c r="I467" s="203" t="s">
        <v>1193</v>
      </c>
      <c r="J467" s="203">
        <f t="shared" ref="J467:J470" si="32">H467*G467</f>
        <v>235.08</v>
      </c>
      <c r="K467" s="203"/>
      <c r="L467" s="203"/>
      <c r="M467" s="203"/>
      <c r="N467" s="203"/>
      <c r="O467" s="203"/>
      <c r="P467" s="203"/>
      <c r="Q467" s="203"/>
    </row>
    <row r="468" spans="1:17" s="25" customFormat="1" x14ac:dyDescent="0.25">
      <c r="A468" s="196" t="s">
        <v>22</v>
      </c>
      <c r="B468" s="197" t="s">
        <v>62</v>
      </c>
      <c r="C468" s="214">
        <v>5031</v>
      </c>
      <c r="D468" s="214"/>
      <c r="E468" s="245" t="s">
        <v>369</v>
      </c>
      <c r="F468" s="214" t="s">
        <v>33</v>
      </c>
      <c r="G468" s="216">
        <v>3.78</v>
      </c>
      <c r="H468" s="199">
        <v>260</v>
      </c>
      <c r="I468" s="199" t="s">
        <v>1193</v>
      </c>
      <c r="J468" s="199">
        <f t="shared" si="32"/>
        <v>982.8</v>
      </c>
      <c r="K468" s="199"/>
      <c r="L468" s="199"/>
      <c r="M468" s="199"/>
      <c r="N468" s="199"/>
      <c r="O468" s="199"/>
      <c r="P468" s="199"/>
      <c r="Q468" s="199"/>
    </row>
    <row r="469" spans="1:17" s="25" customFormat="1" x14ac:dyDescent="0.25">
      <c r="A469" s="200" t="s">
        <v>22</v>
      </c>
      <c r="B469" s="201" t="s">
        <v>62</v>
      </c>
      <c r="C469" s="211">
        <v>11499</v>
      </c>
      <c r="D469" s="211"/>
      <c r="E469" s="223" t="s">
        <v>370</v>
      </c>
      <c r="F469" s="211" t="s">
        <v>1215</v>
      </c>
      <c r="G469" s="212">
        <v>2</v>
      </c>
      <c r="H469" s="199">
        <v>633.47</v>
      </c>
      <c r="I469" s="203" t="s">
        <v>1193</v>
      </c>
      <c r="J469" s="203">
        <f t="shared" si="32"/>
        <v>1266.94</v>
      </c>
      <c r="K469" s="203"/>
      <c r="L469" s="203"/>
      <c r="M469" s="203"/>
      <c r="N469" s="203"/>
      <c r="O469" s="203"/>
      <c r="P469" s="203"/>
      <c r="Q469" s="203"/>
    </row>
    <row r="470" spans="1:17" s="25" customFormat="1" x14ac:dyDescent="0.25">
      <c r="A470" s="196" t="s">
        <v>22</v>
      </c>
      <c r="B470" s="197" t="s">
        <v>62</v>
      </c>
      <c r="C470" s="214">
        <v>11522</v>
      </c>
      <c r="D470" s="214"/>
      <c r="E470" s="245" t="s">
        <v>371</v>
      </c>
      <c r="F470" s="214" t="s">
        <v>1215</v>
      </c>
      <c r="G470" s="216">
        <v>4</v>
      </c>
      <c r="H470" s="199">
        <v>11.32</v>
      </c>
      <c r="I470" s="199" t="s">
        <v>1193</v>
      </c>
      <c r="J470" s="199">
        <f t="shared" si="32"/>
        <v>45.28</v>
      </c>
      <c r="K470" s="199"/>
      <c r="L470" s="199"/>
      <c r="M470" s="199"/>
      <c r="N470" s="199"/>
      <c r="O470" s="199"/>
      <c r="P470" s="199"/>
      <c r="Q470" s="199"/>
    </row>
    <row r="471" spans="1:17" s="25" customFormat="1" x14ac:dyDescent="0.25">
      <c r="A471" s="163"/>
      <c r="B471" s="101"/>
      <c r="C471" s="101"/>
      <c r="D471" s="101"/>
      <c r="E471" s="102"/>
      <c r="F471" s="101"/>
      <c r="G471" s="96"/>
      <c r="H471" s="96"/>
      <c r="I471" s="96" t="s">
        <v>1193</v>
      </c>
      <c r="J471" s="96"/>
      <c r="K471" s="96"/>
      <c r="L471" s="96"/>
      <c r="M471" s="96"/>
      <c r="N471" s="96"/>
      <c r="O471" s="96"/>
      <c r="P471" s="96"/>
      <c r="Q471" s="96"/>
    </row>
    <row r="472" spans="1:17" s="25" customFormat="1" ht="75.599999999999994" customHeight="1" x14ac:dyDescent="0.25">
      <c r="A472" s="149" t="s">
        <v>183</v>
      </c>
      <c r="B472" s="148"/>
      <c r="C472" s="148" t="s">
        <v>376</v>
      </c>
      <c r="D472" s="143" t="s">
        <v>377</v>
      </c>
      <c r="E472" s="144" t="s">
        <v>378</v>
      </c>
      <c r="F472" s="143" t="s">
        <v>1215</v>
      </c>
      <c r="G472" s="146"/>
      <c r="H472" s="146"/>
      <c r="I472" s="146">
        <v>1</v>
      </c>
      <c r="J472" s="146">
        <f>SUM(J473:J477)</f>
        <v>1630.22468164</v>
      </c>
      <c r="K472" s="146">
        <f>SUM(K473:K477)</f>
        <v>230.77976331999997</v>
      </c>
      <c r="L472" s="146">
        <f>J472+K472</f>
        <v>1861.00444496</v>
      </c>
      <c r="M472" s="146">
        <f>J472*I472</f>
        <v>1630.22468164</v>
      </c>
      <c r="N472" s="146">
        <f>K472*I472</f>
        <v>230.77976331999997</v>
      </c>
      <c r="O472" s="146">
        <f>M472+N472</f>
        <v>1861.00444496</v>
      </c>
      <c r="P472" s="146">
        <f>O472*$P$1</f>
        <v>477.53374057673597</v>
      </c>
      <c r="Q472" s="146">
        <f>P472+O472</f>
        <v>2338.5381855367359</v>
      </c>
    </row>
    <row r="473" spans="1:17" s="25" customFormat="1" x14ac:dyDescent="0.25">
      <c r="A473" s="200" t="s">
        <v>22</v>
      </c>
      <c r="B473" s="201" t="s">
        <v>27</v>
      </c>
      <c r="C473" s="211">
        <v>88325</v>
      </c>
      <c r="D473" s="222"/>
      <c r="E473" s="223" t="s">
        <v>70</v>
      </c>
      <c r="F473" s="211" t="s">
        <v>29</v>
      </c>
      <c r="G473" s="212">
        <v>6.76</v>
      </c>
      <c r="H473" s="212">
        <v>28.04</v>
      </c>
      <c r="I473" s="203" t="s">
        <v>1193</v>
      </c>
      <c r="J473" s="203">
        <f>0.2251*H473*G473</f>
        <v>42.667795039999994</v>
      </c>
      <c r="K473" s="203">
        <f>0.7748*H473*G473</f>
        <v>146.86364992</v>
      </c>
      <c r="L473" s="203"/>
      <c r="M473" s="203"/>
      <c r="N473" s="203"/>
      <c r="O473" s="203"/>
      <c r="P473" s="203"/>
      <c r="Q473" s="203"/>
    </row>
    <row r="474" spans="1:17" s="25" customFormat="1" x14ac:dyDescent="0.25">
      <c r="A474" s="196" t="s">
        <v>22</v>
      </c>
      <c r="B474" s="197" t="s">
        <v>27</v>
      </c>
      <c r="C474" s="235">
        <v>88316</v>
      </c>
      <c r="D474" s="221"/>
      <c r="E474" s="238" t="s">
        <v>30</v>
      </c>
      <c r="F474" s="214" t="s">
        <v>29</v>
      </c>
      <c r="G474" s="216">
        <v>6.57</v>
      </c>
      <c r="H474" s="203">
        <v>18.899999999999999</v>
      </c>
      <c r="I474" s="199" t="s">
        <v>1193</v>
      </c>
      <c r="J474" s="199">
        <f>0.3242*H474*G474</f>
        <v>40.256886600000001</v>
      </c>
      <c r="K474" s="199">
        <f>0.6758*H474*G474</f>
        <v>83.916113399999986</v>
      </c>
      <c r="L474" s="199"/>
      <c r="M474" s="199"/>
      <c r="N474" s="199"/>
      <c r="O474" s="199"/>
      <c r="P474" s="199"/>
      <c r="Q474" s="199"/>
    </row>
    <row r="475" spans="1:17" s="25" customFormat="1" x14ac:dyDescent="0.25">
      <c r="A475" s="200" t="s">
        <v>22</v>
      </c>
      <c r="B475" s="201" t="s">
        <v>62</v>
      </c>
      <c r="C475" s="211">
        <v>3104</v>
      </c>
      <c r="D475" s="211"/>
      <c r="E475" s="223" t="s">
        <v>375</v>
      </c>
      <c r="F475" s="211" t="s">
        <v>1215</v>
      </c>
      <c r="G475" s="212">
        <v>2</v>
      </c>
      <c r="H475" s="199">
        <v>117.54</v>
      </c>
      <c r="I475" s="203" t="s">
        <v>1193</v>
      </c>
      <c r="J475" s="203">
        <f t="shared" ref="J475:J477" si="33">H475*G475</f>
        <v>235.08</v>
      </c>
      <c r="K475" s="203"/>
      <c r="L475" s="203"/>
      <c r="M475" s="203"/>
      <c r="N475" s="203"/>
      <c r="O475" s="203"/>
      <c r="P475" s="203"/>
      <c r="Q475" s="203"/>
    </row>
    <row r="476" spans="1:17" s="25" customFormat="1" x14ac:dyDescent="0.25">
      <c r="A476" s="196" t="s">
        <v>22</v>
      </c>
      <c r="B476" s="197" t="s">
        <v>62</v>
      </c>
      <c r="C476" s="214">
        <v>11499</v>
      </c>
      <c r="D476" s="214"/>
      <c r="E476" s="245" t="s">
        <v>370</v>
      </c>
      <c r="F476" s="214" t="s">
        <v>1215</v>
      </c>
      <c r="G476" s="216">
        <v>2</v>
      </c>
      <c r="H476" s="199">
        <v>633.47</v>
      </c>
      <c r="I476" s="199" t="s">
        <v>1193</v>
      </c>
      <c r="J476" s="199">
        <f t="shared" si="33"/>
        <v>1266.94</v>
      </c>
      <c r="K476" s="199"/>
      <c r="L476" s="199"/>
      <c r="M476" s="199"/>
      <c r="N476" s="199"/>
      <c r="O476" s="199"/>
      <c r="P476" s="199"/>
      <c r="Q476" s="199"/>
    </row>
    <row r="477" spans="1:17" s="25" customFormat="1" x14ac:dyDescent="0.25">
      <c r="A477" s="200" t="s">
        <v>22</v>
      </c>
      <c r="B477" s="201" t="s">
        <v>62</v>
      </c>
      <c r="C477" s="211">
        <v>11522</v>
      </c>
      <c r="D477" s="211"/>
      <c r="E477" s="223" t="s">
        <v>371</v>
      </c>
      <c r="F477" s="211" t="s">
        <v>1215</v>
      </c>
      <c r="G477" s="212">
        <v>4</v>
      </c>
      <c r="H477" s="199">
        <v>11.32</v>
      </c>
      <c r="I477" s="203" t="s">
        <v>1193</v>
      </c>
      <c r="J477" s="203">
        <f t="shared" si="33"/>
        <v>45.28</v>
      </c>
      <c r="K477" s="203"/>
      <c r="L477" s="203"/>
      <c r="M477" s="203"/>
      <c r="N477" s="203"/>
      <c r="O477" s="203"/>
      <c r="P477" s="203"/>
      <c r="Q477" s="203"/>
    </row>
    <row r="478" spans="1:17" s="25" customFormat="1" x14ac:dyDescent="0.25">
      <c r="A478" s="159"/>
      <c r="B478" s="160"/>
      <c r="C478" s="160"/>
      <c r="D478" s="160"/>
      <c r="E478" s="161"/>
      <c r="F478" s="160"/>
      <c r="G478" s="162"/>
      <c r="H478" s="199"/>
      <c r="I478" s="162" t="s">
        <v>1193</v>
      </c>
      <c r="J478" s="162"/>
      <c r="K478" s="162"/>
      <c r="L478" s="162"/>
      <c r="M478" s="162"/>
      <c r="N478" s="162"/>
      <c r="O478" s="162"/>
      <c r="P478" s="162"/>
      <c r="Q478" s="162"/>
    </row>
    <row r="479" spans="1:17" s="25" customFormat="1" ht="78" customHeight="1" x14ac:dyDescent="0.25">
      <c r="A479" s="149" t="s">
        <v>22</v>
      </c>
      <c r="B479" s="148"/>
      <c r="C479" s="148" t="s">
        <v>379</v>
      </c>
      <c r="D479" s="143" t="s">
        <v>380</v>
      </c>
      <c r="E479" s="144" t="s">
        <v>381</v>
      </c>
      <c r="F479" s="143" t="s">
        <v>1215</v>
      </c>
      <c r="G479" s="146"/>
      <c r="H479" s="146"/>
      <c r="I479" s="146">
        <v>1</v>
      </c>
      <c r="J479" s="146">
        <f>SUM(J480:J484)</f>
        <v>1346.0846816399999</v>
      </c>
      <c r="K479" s="146">
        <f>SUM(K480:K484)</f>
        <v>230.77976331999997</v>
      </c>
      <c r="L479" s="146">
        <f>J479+K479</f>
        <v>1576.8644449599999</v>
      </c>
      <c r="M479" s="146">
        <f>J479*I479</f>
        <v>1346.0846816399999</v>
      </c>
      <c r="N479" s="146">
        <f>K479*I479</f>
        <v>230.77976331999997</v>
      </c>
      <c r="O479" s="146">
        <f>M479+N479</f>
        <v>1576.8644449599999</v>
      </c>
      <c r="P479" s="146">
        <f>O479*$P$1</f>
        <v>404.62341657673596</v>
      </c>
      <c r="Q479" s="146">
        <f>P479+O479</f>
        <v>1981.4878615367359</v>
      </c>
    </row>
    <row r="480" spans="1:17" s="25" customFormat="1" x14ac:dyDescent="0.25">
      <c r="A480" s="196" t="s">
        <v>22</v>
      </c>
      <c r="B480" s="197" t="s">
        <v>27</v>
      </c>
      <c r="C480" s="214">
        <v>88325</v>
      </c>
      <c r="D480" s="221"/>
      <c r="E480" s="245" t="s">
        <v>70</v>
      </c>
      <c r="F480" s="214" t="s">
        <v>29</v>
      </c>
      <c r="G480" s="216">
        <v>6.76</v>
      </c>
      <c r="H480" s="216">
        <v>28.04</v>
      </c>
      <c r="I480" s="199" t="s">
        <v>1193</v>
      </c>
      <c r="J480" s="199">
        <f>0.2251*H480*G480</f>
        <v>42.667795039999994</v>
      </c>
      <c r="K480" s="199">
        <f>0.7748*H480*G480</f>
        <v>146.86364992</v>
      </c>
      <c r="L480" s="199"/>
      <c r="M480" s="199"/>
      <c r="N480" s="199"/>
      <c r="O480" s="199"/>
      <c r="P480" s="199"/>
      <c r="Q480" s="199"/>
    </row>
    <row r="481" spans="1:17" s="25" customFormat="1" x14ac:dyDescent="0.25">
      <c r="A481" s="200" t="s">
        <v>22</v>
      </c>
      <c r="B481" s="201" t="s">
        <v>27</v>
      </c>
      <c r="C481" s="239">
        <v>88316</v>
      </c>
      <c r="D481" s="222"/>
      <c r="E481" s="237" t="s">
        <v>30</v>
      </c>
      <c r="F481" s="211" t="s">
        <v>29</v>
      </c>
      <c r="G481" s="212">
        <v>6.57</v>
      </c>
      <c r="H481" s="203">
        <v>18.899999999999999</v>
      </c>
      <c r="I481" s="203" t="s">
        <v>1193</v>
      </c>
      <c r="J481" s="203">
        <f>0.3242*H481*G481</f>
        <v>40.256886600000001</v>
      </c>
      <c r="K481" s="203">
        <f>0.6758*H481*G481</f>
        <v>83.916113399999986</v>
      </c>
      <c r="L481" s="203"/>
      <c r="M481" s="203"/>
      <c r="N481" s="203"/>
      <c r="O481" s="203"/>
      <c r="P481" s="203"/>
      <c r="Q481" s="203"/>
    </row>
    <row r="482" spans="1:17" s="25" customFormat="1" x14ac:dyDescent="0.25">
      <c r="A482" s="196" t="s">
        <v>22</v>
      </c>
      <c r="B482" s="197" t="s">
        <v>62</v>
      </c>
      <c r="C482" s="214">
        <v>3104</v>
      </c>
      <c r="D482" s="214"/>
      <c r="E482" s="245" t="s">
        <v>375</v>
      </c>
      <c r="F482" s="214" t="s">
        <v>1215</v>
      </c>
      <c r="G482" s="216">
        <v>2</v>
      </c>
      <c r="H482" s="199">
        <v>117.54</v>
      </c>
      <c r="I482" s="199" t="s">
        <v>1193</v>
      </c>
      <c r="J482" s="199">
        <f t="shared" ref="J482:J484" si="34">H482*G482</f>
        <v>235.08</v>
      </c>
      <c r="K482" s="199"/>
      <c r="L482" s="199"/>
      <c r="M482" s="199"/>
      <c r="N482" s="199"/>
      <c r="O482" s="199"/>
      <c r="P482" s="199"/>
      <c r="Q482" s="199"/>
    </row>
    <row r="483" spans="1:17" s="25" customFormat="1" x14ac:dyDescent="0.25">
      <c r="A483" s="200" t="s">
        <v>22</v>
      </c>
      <c r="B483" s="201" t="s">
        <v>62</v>
      </c>
      <c r="C483" s="211">
        <v>5031</v>
      </c>
      <c r="D483" s="211"/>
      <c r="E483" s="223" t="s">
        <v>369</v>
      </c>
      <c r="F483" s="211" t="s">
        <v>33</v>
      </c>
      <c r="G483" s="212">
        <v>3.78</v>
      </c>
      <c r="H483" s="199">
        <v>260</v>
      </c>
      <c r="I483" s="203" t="s">
        <v>1193</v>
      </c>
      <c r="J483" s="203">
        <f t="shared" si="34"/>
        <v>982.8</v>
      </c>
      <c r="K483" s="203"/>
      <c r="L483" s="203"/>
      <c r="M483" s="203"/>
      <c r="N483" s="203"/>
      <c r="O483" s="203"/>
      <c r="P483" s="203"/>
      <c r="Q483" s="203"/>
    </row>
    <row r="484" spans="1:17" s="25" customFormat="1" x14ac:dyDescent="0.25">
      <c r="A484" s="196" t="s">
        <v>22</v>
      </c>
      <c r="B484" s="197" t="s">
        <v>62</v>
      </c>
      <c r="C484" s="214">
        <v>11522</v>
      </c>
      <c r="D484" s="214"/>
      <c r="E484" s="245" t="s">
        <v>371</v>
      </c>
      <c r="F484" s="214" t="s">
        <v>1215</v>
      </c>
      <c r="G484" s="216">
        <v>4</v>
      </c>
      <c r="H484" s="199">
        <v>11.32</v>
      </c>
      <c r="I484" s="199" t="s">
        <v>1193</v>
      </c>
      <c r="J484" s="199">
        <f t="shared" si="34"/>
        <v>45.28</v>
      </c>
      <c r="K484" s="199"/>
      <c r="L484" s="199"/>
      <c r="M484" s="199"/>
      <c r="N484" s="199"/>
      <c r="O484" s="199"/>
      <c r="P484" s="199"/>
      <c r="Q484" s="199"/>
    </row>
    <row r="485" spans="1:17" s="25" customFormat="1" x14ac:dyDescent="0.25">
      <c r="A485" s="163"/>
      <c r="B485" s="101"/>
      <c r="C485" s="101"/>
      <c r="D485" s="101"/>
      <c r="E485" s="102"/>
      <c r="F485" s="101"/>
      <c r="G485" s="96"/>
      <c r="H485" s="96"/>
      <c r="I485" s="96" t="s">
        <v>1193</v>
      </c>
      <c r="J485" s="96"/>
      <c r="K485" s="96"/>
      <c r="L485" s="96"/>
      <c r="M485" s="96"/>
      <c r="N485" s="96"/>
      <c r="O485" s="96"/>
      <c r="P485" s="96"/>
      <c r="Q485" s="96"/>
    </row>
    <row r="486" spans="1:17" s="25" customFormat="1" ht="30" x14ac:dyDescent="0.25">
      <c r="A486" s="149" t="s">
        <v>56</v>
      </c>
      <c r="B486" s="148"/>
      <c r="C486" s="148"/>
      <c r="D486" s="143" t="s">
        <v>382</v>
      </c>
      <c r="E486" s="144" t="s">
        <v>383</v>
      </c>
      <c r="F486" s="143" t="s">
        <v>1215</v>
      </c>
      <c r="G486" s="146"/>
      <c r="H486" s="146"/>
      <c r="I486" s="146">
        <v>1</v>
      </c>
      <c r="J486" s="146">
        <f>SUM(J487:J490)</f>
        <v>332.96802880000001</v>
      </c>
      <c r="K486" s="146">
        <f>SUM(K487:K490)</f>
        <v>103.18410490799998</v>
      </c>
      <c r="L486" s="146">
        <f>J486+K486</f>
        <v>436.15213370800001</v>
      </c>
      <c r="M486" s="146">
        <f>J486*I486</f>
        <v>332.96802880000001</v>
      </c>
      <c r="N486" s="146">
        <f>K486*I486</f>
        <v>103.18410490799998</v>
      </c>
      <c r="O486" s="146">
        <f>M486+N486</f>
        <v>436.15213370800001</v>
      </c>
      <c r="P486" s="146">
        <f>O486*$P$1</f>
        <v>111.91663750947281</v>
      </c>
      <c r="Q486" s="146">
        <f>P486+O486</f>
        <v>548.06877121747277</v>
      </c>
    </row>
    <row r="487" spans="1:17" s="25" customFormat="1" x14ac:dyDescent="0.25">
      <c r="A487" s="200" t="s">
        <v>22</v>
      </c>
      <c r="B487" s="201" t="s">
        <v>27</v>
      </c>
      <c r="C487" s="211">
        <v>88316</v>
      </c>
      <c r="D487" s="211"/>
      <c r="E487" s="223" t="s">
        <v>30</v>
      </c>
      <c r="F487" s="211" t="s">
        <v>29</v>
      </c>
      <c r="G487" s="212">
        <v>3.1</v>
      </c>
      <c r="H487" s="203">
        <v>18.899999999999999</v>
      </c>
      <c r="I487" s="203" t="s">
        <v>1193</v>
      </c>
      <c r="J487" s="203">
        <f>0.3242*H487*G487</f>
        <v>18.994878</v>
      </c>
      <c r="K487" s="203">
        <f>0.6758*H487*G487</f>
        <v>39.595121999999996</v>
      </c>
      <c r="L487" s="203"/>
      <c r="M487" s="203"/>
      <c r="N487" s="203"/>
      <c r="O487" s="203"/>
      <c r="P487" s="203"/>
      <c r="Q487" s="203"/>
    </row>
    <row r="488" spans="1:17" s="25" customFormat="1" x14ac:dyDescent="0.25">
      <c r="A488" s="196" t="s">
        <v>22</v>
      </c>
      <c r="B488" s="197" t="s">
        <v>27</v>
      </c>
      <c r="C488" s="214">
        <v>88315</v>
      </c>
      <c r="D488" s="214"/>
      <c r="E488" s="245" t="s">
        <v>384</v>
      </c>
      <c r="F488" s="214" t="s">
        <v>29</v>
      </c>
      <c r="G488" s="216">
        <v>3.4</v>
      </c>
      <c r="H488" s="199">
        <v>24.39</v>
      </c>
      <c r="I488" s="199" t="s">
        <v>1193</v>
      </c>
      <c r="J488" s="199">
        <f>0.2578*H488*G488</f>
        <v>21.378322799999999</v>
      </c>
      <c r="K488" s="199">
        <f>0.7422*H488*G488</f>
        <v>61.547677199999995</v>
      </c>
      <c r="L488" s="199"/>
      <c r="M488" s="199"/>
      <c r="N488" s="199"/>
      <c r="O488" s="199"/>
      <c r="P488" s="199"/>
      <c r="Q488" s="199"/>
    </row>
    <row r="489" spans="1:17" s="25" customFormat="1" x14ac:dyDescent="0.25">
      <c r="A489" s="200" t="s">
        <v>22</v>
      </c>
      <c r="B489" s="201" t="s">
        <v>27</v>
      </c>
      <c r="C489" s="211">
        <v>88631</v>
      </c>
      <c r="D489" s="211"/>
      <c r="E489" s="223" t="s">
        <v>385</v>
      </c>
      <c r="F489" s="211" t="s">
        <v>113</v>
      </c>
      <c r="G489" s="212">
        <v>0.02</v>
      </c>
      <c r="H489" s="199">
        <v>443.82</v>
      </c>
      <c r="I489" s="203" t="s">
        <v>1193</v>
      </c>
      <c r="J489" s="203">
        <f>0.77*G489*H489</f>
        <v>6.8348279999999999</v>
      </c>
      <c r="K489" s="203">
        <f>0.22997*G489*H489</f>
        <v>2.0413057079999999</v>
      </c>
      <c r="L489" s="203"/>
      <c r="M489" s="203"/>
      <c r="N489" s="203"/>
      <c r="O489" s="203"/>
      <c r="P489" s="203"/>
      <c r="Q489" s="203"/>
    </row>
    <row r="490" spans="1:17" s="25" customFormat="1" x14ac:dyDescent="0.25">
      <c r="A490" s="196" t="s">
        <v>22</v>
      </c>
      <c r="B490" s="197" t="s">
        <v>62</v>
      </c>
      <c r="C490" s="214">
        <v>7697</v>
      </c>
      <c r="D490" s="214"/>
      <c r="E490" s="246" t="s">
        <v>386</v>
      </c>
      <c r="F490" s="214" t="s">
        <v>39</v>
      </c>
      <c r="G490" s="216">
        <v>4</v>
      </c>
      <c r="H490" s="199">
        <v>71.44</v>
      </c>
      <c r="I490" s="199" t="s">
        <v>1193</v>
      </c>
      <c r="J490" s="199">
        <f>G490*H490</f>
        <v>285.76</v>
      </c>
      <c r="K490" s="199"/>
      <c r="L490" s="199"/>
      <c r="M490" s="199"/>
      <c r="N490" s="199"/>
      <c r="O490" s="199"/>
      <c r="P490" s="199"/>
      <c r="Q490" s="199"/>
    </row>
    <row r="491" spans="1:17" s="25" customFormat="1" x14ac:dyDescent="0.25">
      <c r="A491" s="163"/>
      <c r="B491" s="101"/>
      <c r="C491" s="101"/>
      <c r="D491" s="101"/>
      <c r="E491" s="102"/>
      <c r="F491" s="101"/>
      <c r="G491" s="96"/>
      <c r="H491" s="96"/>
      <c r="I491" s="96" t="s">
        <v>1193</v>
      </c>
      <c r="J491" s="96"/>
      <c r="K491" s="96"/>
      <c r="L491" s="96"/>
      <c r="M491" s="96"/>
      <c r="N491" s="96"/>
      <c r="O491" s="96"/>
      <c r="P491" s="96"/>
      <c r="Q491" s="96"/>
    </row>
    <row r="492" spans="1:17" s="25" customFormat="1" ht="52.9" customHeight="1" x14ac:dyDescent="0.25">
      <c r="A492" s="149" t="s">
        <v>22</v>
      </c>
      <c r="B492" s="148"/>
      <c r="C492" s="148">
        <v>99861</v>
      </c>
      <c r="D492" s="143" t="s">
        <v>387</v>
      </c>
      <c r="E492" s="144" t="s">
        <v>388</v>
      </c>
      <c r="F492" s="143" t="s">
        <v>33</v>
      </c>
      <c r="G492" s="146"/>
      <c r="H492" s="146"/>
      <c r="I492" s="146">
        <v>0.67</v>
      </c>
      <c r="J492" s="146">
        <f>SUM(J493:J498)</f>
        <v>345.85115904000003</v>
      </c>
      <c r="K492" s="146">
        <f>SUM(K493:K498)</f>
        <v>247.96679884400001</v>
      </c>
      <c r="L492" s="146">
        <f>J492+K492</f>
        <v>593.81795788400007</v>
      </c>
      <c r="M492" s="146">
        <f>J492*I492</f>
        <v>231.72027655680003</v>
      </c>
      <c r="N492" s="146">
        <f>K492*I492</f>
        <v>166.13775522548002</v>
      </c>
      <c r="O492" s="146">
        <f>M492+N492</f>
        <v>397.85803178228002</v>
      </c>
      <c r="P492" s="146">
        <f>O492*$P$1</f>
        <v>102.09037095533306</v>
      </c>
      <c r="Q492" s="146">
        <f>P492+O492</f>
        <v>499.94840273761309</v>
      </c>
    </row>
    <row r="493" spans="1:17" s="25" customFormat="1" x14ac:dyDescent="0.25">
      <c r="A493" s="200" t="s">
        <v>22</v>
      </c>
      <c r="B493" s="201" t="s">
        <v>27</v>
      </c>
      <c r="C493" s="211">
        <v>88251</v>
      </c>
      <c r="D493" s="211"/>
      <c r="E493" s="223" t="s">
        <v>389</v>
      </c>
      <c r="F493" s="211" t="s">
        <v>29</v>
      </c>
      <c r="G493" s="212">
        <v>6.9640000000000004</v>
      </c>
      <c r="H493" s="203">
        <v>19.690000000000001</v>
      </c>
      <c r="I493" s="203" t="s">
        <v>1193</v>
      </c>
      <c r="J493" s="203">
        <f>0.3172*H493*G493</f>
        <v>43.494831952000006</v>
      </c>
      <c r="K493" s="203">
        <f>0.6827*H493*G493</f>
        <v>93.612615932000011</v>
      </c>
      <c r="L493" s="203"/>
      <c r="M493" s="203"/>
      <c r="N493" s="203"/>
      <c r="O493" s="203"/>
      <c r="P493" s="203"/>
      <c r="Q493" s="203"/>
    </row>
    <row r="494" spans="1:17" s="25" customFormat="1" x14ac:dyDescent="0.25">
      <c r="A494" s="196" t="s">
        <v>22</v>
      </c>
      <c r="B494" s="197" t="s">
        <v>27</v>
      </c>
      <c r="C494" s="214">
        <v>88315</v>
      </c>
      <c r="D494" s="214"/>
      <c r="E494" s="245" t="s">
        <v>384</v>
      </c>
      <c r="F494" s="214" t="s">
        <v>29</v>
      </c>
      <c r="G494" s="216">
        <v>8.48</v>
      </c>
      <c r="H494" s="199">
        <v>24.39</v>
      </c>
      <c r="I494" s="199" t="s">
        <v>1193</v>
      </c>
      <c r="J494" s="199">
        <f>0.2578*H494*G494</f>
        <v>53.320052160000003</v>
      </c>
      <c r="K494" s="199">
        <f>0.7422*H494*G494</f>
        <v>153.50714783999999</v>
      </c>
      <c r="L494" s="199"/>
      <c r="M494" s="199"/>
      <c r="N494" s="199"/>
      <c r="O494" s="199"/>
      <c r="P494" s="199"/>
      <c r="Q494" s="199"/>
    </row>
    <row r="495" spans="1:17" s="25" customFormat="1" x14ac:dyDescent="0.25">
      <c r="A495" s="200" t="s">
        <v>22</v>
      </c>
      <c r="B495" s="201" t="s">
        <v>27</v>
      </c>
      <c r="C495" s="211">
        <v>88629</v>
      </c>
      <c r="D495" s="211"/>
      <c r="E495" s="223" t="s">
        <v>390</v>
      </c>
      <c r="F495" s="211" t="s">
        <v>113</v>
      </c>
      <c r="G495" s="212">
        <v>8.0000000000000002E-3</v>
      </c>
      <c r="H495" s="199">
        <v>496.62</v>
      </c>
      <c r="I495" s="203" t="s">
        <v>1193</v>
      </c>
      <c r="J495" s="203">
        <f>0.7868*G495*H495</f>
        <v>3.1259249280000003</v>
      </c>
      <c r="K495" s="203">
        <f>0.2132*G495*H495</f>
        <v>0.84703507200000006</v>
      </c>
      <c r="L495" s="203"/>
      <c r="M495" s="203"/>
      <c r="N495" s="203"/>
      <c r="O495" s="203"/>
      <c r="P495" s="203"/>
      <c r="Q495" s="203"/>
    </row>
    <row r="496" spans="1:17" s="25" customFormat="1" x14ac:dyDescent="0.25">
      <c r="A496" s="196" t="s">
        <v>22</v>
      </c>
      <c r="B496" s="197" t="s">
        <v>62</v>
      </c>
      <c r="C496" s="214">
        <v>546</v>
      </c>
      <c r="D496" s="214"/>
      <c r="E496" s="245" t="s">
        <v>391</v>
      </c>
      <c r="F496" s="214" t="s">
        <v>39</v>
      </c>
      <c r="G496" s="216">
        <v>9.17</v>
      </c>
      <c r="H496" s="199">
        <v>12.94</v>
      </c>
      <c r="I496" s="199" t="s">
        <v>1193</v>
      </c>
      <c r="J496" s="199">
        <f t="shared" ref="J496:J498" si="35">H496*G496</f>
        <v>118.65979999999999</v>
      </c>
      <c r="K496" s="199"/>
      <c r="L496" s="199"/>
      <c r="M496" s="199"/>
      <c r="N496" s="199"/>
      <c r="O496" s="199"/>
      <c r="P496" s="199"/>
      <c r="Q496" s="199"/>
    </row>
    <row r="497" spans="1:17" s="25" customFormat="1" x14ac:dyDescent="0.25">
      <c r="A497" s="200" t="s">
        <v>22</v>
      </c>
      <c r="B497" s="201" t="s">
        <v>62</v>
      </c>
      <c r="C497" s="211">
        <v>4777</v>
      </c>
      <c r="D497" s="211"/>
      <c r="E497" s="223" t="s">
        <v>392</v>
      </c>
      <c r="F497" s="211" t="s">
        <v>64</v>
      </c>
      <c r="G497" s="212">
        <v>7.54</v>
      </c>
      <c r="H497" s="199">
        <v>16.43</v>
      </c>
      <c r="I497" s="203" t="s">
        <v>1193</v>
      </c>
      <c r="J497" s="203">
        <f t="shared" si="35"/>
        <v>123.8822</v>
      </c>
      <c r="K497" s="203"/>
      <c r="L497" s="203"/>
      <c r="M497" s="203"/>
      <c r="N497" s="203"/>
      <c r="O497" s="203"/>
      <c r="P497" s="203"/>
      <c r="Q497" s="203"/>
    </row>
    <row r="498" spans="1:17" s="25" customFormat="1" x14ac:dyDescent="0.25">
      <c r="A498" s="196" t="s">
        <v>22</v>
      </c>
      <c r="B498" s="197" t="s">
        <v>62</v>
      </c>
      <c r="C498" s="214">
        <v>11002</v>
      </c>
      <c r="D498" s="214"/>
      <c r="E498" s="245" t="s">
        <v>393</v>
      </c>
      <c r="F498" s="214" t="s">
        <v>64</v>
      </c>
      <c r="G498" s="216">
        <v>0.115</v>
      </c>
      <c r="H498" s="199">
        <v>29.29</v>
      </c>
      <c r="I498" s="199" t="s">
        <v>1193</v>
      </c>
      <c r="J498" s="199">
        <f t="shared" si="35"/>
        <v>3.36835</v>
      </c>
      <c r="K498" s="199"/>
      <c r="L498" s="199"/>
      <c r="M498" s="199"/>
      <c r="N498" s="199"/>
      <c r="O498" s="199"/>
      <c r="P498" s="199"/>
      <c r="Q498" s="199"/>
    </row>
    <row r="499" spans="1:17" s="25" customFormat="1" x14ac:dyDescent="0.25">
      <c r="A499" s="163"/>
      <c r="B499" s="101"/>
      <c r="C499" s="101"/>
      <c r="D499" s="101"/>
      <c r="E499" s="102"/>
      <c r="F499" s="101"/>
      <c r="G499" s="96"/>
      <c r="H499" s="96"/>
      <c r="I499" s="96" t="s">
        <v>1193</v>
      </c>
      <c r="J499" s="96"/>
      <c r="K499" s="96"/>
      <c r="L499" s="96"/>
      <c r="M499" s="96"/>
      <c r="N499" s="96"/>
      <c r="O499" s="96"/>
      <c r="P499" s="96"/>
      <c r="Q499" s="96"/>
    </row>
    <row r="500" spans="1:17" s="25" customFormat="1" ht="49.15" customHeight="1" x14ac:dyDescent="0.25">
      <c r="A500" s="149" t="s">
        <v>22</v>
      </c>
      <c r="B500" s="148"/>
      <c r="C500" s="148">
        <v>102164</v>
      </c>
      <c r="D500" s="143" t="s">
        <v>394</v>
      </c>
      <c r="E500" s="144" t="s">
        <v>395</v>
      </c>
      <c r="F500" s="143" t="s">
        <v>33</v>
      </c>
      <c r="G500" s="146"/>
      <c r="H500" s="146"/>
      <c r="I500" s="146">
        <v>0.67</v>
      </c>
      <c r="J500" s="146">
        <f>SUM(J501:J505)</f>
        <v>314.06487552800002</v>
      </c>
      <c r="K500" s="146">
        <f>SUM(K501:K505)</f>
        <v>21.400346364000001</v>
      </c>
      <c r="L500" s="146">
        <f>J500+K500</f>
        <v>335.46522189200005</v>
      </c>
      <c r="M500" s="146">
        <f>J500*I500</f>
        <v>210.42346660376003</v>
      </c>
      <c r="N500" s="146">
        <f>K500*I500</f>
        <v>14.338232063880001</v>
      </c>
      <c r="O500" s="146">
        <f>M500+N500</f>
        <v>224.76169866764005</v>
      </c>
      <c r="P500" s="146">
        <f>O500*$P$1</f>
        <v>57.673851878116437</v>
      </c>
      <c r="Q500" s="146">
        <f>P500+O500</f>
        <v>282.43555054575648</v>
      </c>
    </row>
    <row r="501" spans="1:17" s="25" customFormat="1" x14ac:dyDescent="0.25">
      <c r="A501" s="200" t="s">
        <v>22</v>
      </c>
      <c r="B501" s="201" t="s">
        <v>27</v>
      </c>
      <c r="C501" s="211">
        <v>88316</v>
      </c>
      <c r="D501" s="211"/>
      <c r="E501" s="223" t="s">
        <v>30</v>
      </c>
      <c r="F501" s="211" t="s">
        <v>29</v>
      </c>
      <c r="G501" s="212">
        <v>0.60899999999999999</v>
      </c>
      <c r="H501" s="203">
        <v>18.899999999999999</v>
      </c>
      <c r="I501" s="203" t="s">
        <v>1193</v>
      </c>
      <c r="J501" s="203">
        <f>0.3242*H501*G501</f>
        <v>3.7315744199999998</v>
      </c>
      <c r="K501" s="203">
        <f>0.6758*H501*G501</f>
        <v>7.7785255799999984</v>
      </c>
      <c r="L501" s="203"/>
      <c r="M501" s="203"/>
      <c r="N501" s="203"/>
      <c r="O501" s="203"/>
      <c r="P501" s="203"/>
      <c r="Q501" s="203"/>
    </row>
    <row r="502" spans="1:17" s="25" customFormat="1" x14ac:dyDescent="0.25">
      <c r="A502" s="196" t="s">
        <v>22</v>
      </c>
      <c r="B502" s="197" t="s">
        <v>27</v>
      </c>
      <c r="C502" s="214">
        <v>88325</v>
      </c>
      <c r="D502" s="214"/>
      <c r="E502" s="245" t="s">
        <v>70</v>
      </c>
      <c r="F502" s="214" t="s">
        <v>29</v>
      </c>
      <c r="G502" s="216">
        <v>0.627</v>
      </c>
      <c r="H502" s="216">
        <v>28.04</v>
      </c>
      <c r="I502" s="199" t="s">
        <v>1193</v>
      </c>
      <c r="J502" s="199">
        <f>0.2251*H502*G502</f>
        <v>3.9575011079999998</v>
      </c>
      <c r="K502" s="199">
        <f>0.7748*H502*G502</f>
        <v>13.621820784000001</v>
      </c>
      <c r="L502" s="199"/>
      <c r="M502" s="199"/>
      <c r="N502" s="199"/>
      <c r="O502" s="199"/>
      <c r="P502" s="199"/>
      <c r="Q502" s="199"/>
    </row>
    <row r="503" spans="1:17" s="25" customFormat="1" x14ac:dyDescent="0.25">
      <c r="A503" s="200" t="s">
        <v>22</v>
      </c>
      <c r="B503" s="201" t="s">
        <v>62</v>
      </c>
      <c r="C503" s="211">
        <v>10493</v>
      </c>
      <c r="D503" s="211"/>
      <c r="E503" s="223" t="s">
        <v>396</v>
      </c>
      <c r="F503" s="211" t="s">
        <v>33</v>
      </c>
      <c r="G503" s="212">
        <v>1</v>
      </c>
      <c r="H503" s="203">
        <v>171.11</v>
      </c>
      <c r="I503" s="203" t="s">
        <v>1193</v>
      </c>
      <c r="J503" s="203">
        <f t="shared" ref="J503:J505" si="36">H503*G503</f>
        <v>171.11</v>
      </c>
      <c r="K503" s="203"/>
      <c r="L503" s="203"/>
      <c r="M503" s="203"/>
      <c r="N503" s="203"/>
      <c r="O503" s="203"/>
      <c r="P503" s="203"/>
      <c r="Q503" s="203"/>
    </row>
    <row r="504" spans="1:17" s="25" customFormat="1" ht="30" x14ac:dyDescent="0.25">
      <c r="A504" s="196" t="s">
        <v>22</v>
      </c>
      <c r="B504" s="197" t="s">
        <v>62</v>
      </c>
      <c r="C504" s="214">
        <v>39432</v>
      </c>
      <c r="D504" s="214"/>
      <c r="E504" s="246" t="s">
        <v>397</v>
      </c>
      <c r="F504" s="214" t="s">
        <v>39</v>
      </c>
      <c r="G504" s="216">
        <v>5.21</v>
      </c>
      <c r="H504" s="212">
        <v>1.98</v>
      </c>
      <c r="I504" s="199" t="s">
        <v>1193</v>
      </c>
      <c r="J504" s="199">
        <f t="shared" si="36"/>
        <v>10.315799999999999</v>
      </c>
      <c r="K504" s="199"/>
      <c r="L504" s="199"/>
      <c r="M504" s="199"/>
      <c r="N504" s="199"/>
      <c r="O504" s="199"/>
      <c r="P504" s="199"/>
      <c r="Q504" s="199"/>
    </row>
    <row r="505" spans="1:17" s="25" customFormat="1" x14ac:dyDescent="0.25">
      <c r="A505" s="200" t="s">
        <v>22</v>
      </c>
      <c r="B505" s="201" t="s">
        <v>62</v>
      </c>
      <c r="C505" s="211">
        <v>20259</v>
      </c>
      <c r="D505" s="211"/>
      <c r="E505" s="223" t="s">
        <v>398</v>
      </c>
      <c r="F505" s="211" t="s">
        <v>39</v>
      </c>
      <c r="G505" s="212">
        <v>5.95</v>
      </c>
      <c r="H505" s="199">
        <v>21</v>
      </c>
      <c r="I505" s="203" t="s">
        <v>1193</v>
      </c>
      <c r="J505" s="203">
        <f t="shared" si="36"/>
        <v>124.95</v>
      </c>
      <c r="K505" s="203"/>
      <c r="L505" s="203"/>
      <c r="M505" s="203"/>
      <c r="N505" s="203"/>
      <c r="O505" s="203"/>
      <c r="P505" s="203"/>
      <c r="Q505" s="203"/>
    </row>
    <row r="506" spans="1:17" s="25" customFormat="1" x14ac:dyDescent="0.25">
      <c r="A506" s="159"/>
      <c r="B506" s="160"/>
      <c r="C506" s="160"/>
      <c r="D506" s="160"/>
      <c r="E506" s="161"/>
      <c r="F506" s="160"/>
      <c r="G506" s="162"/>
      <c r="H506" s="162"/>
      <c r="I506" s="162" t="s">
        <v>1193</v>
      </c>
      <c r="J506" s="162"/>
      <c r="K506" s="162"/>
      <c r="L506" s="162"/>
      <c r="M506" s="162"/>
      <c r="N506" s="162"/>
      <c r="O506" s="162"/>
      <c r="P506" s="162"/>
      <c r="Q506" s="162"/>
    </row>
    <row r="507" spans="1:17" s="25" customFormat="1" ht="30" x14ac:dyDescent="0.25">
      <c r="A507" s="149" t="s">
        <v>56</v>
      </c>
      <c r="B507" s="148"/>
      <c r="C507" s="148"/>
      <c r="D507" s="148" t="s">
        <v>399</v>
      </c>
      <c r="E507" s="144" t="s">
        <v>400</v>
      </c>
      <c r="F507" s="345" t="s">
        <v>1215</v>
      </c>
      <c r="G507" s="146"/>
      <c r="H507" s="146"/>
      <c r="I507" s="146">
        <v>1</v>
      </c>
      <c r="J507" s="146">
        <f>SUM(J508:J512)</f>
        <v>113.28755</v>
      </c>
      <c r="K507" s="146">
        <f>SUM(K508:K512)</f>
        <v>52.718490000000003</v>
      </c>
      <c r="L507" s="146">
        <f>J507+K507</f>
        <v>166.00603999999998</v>
      </c>
      <c r="M507" s="146">
        <f>J507*I507</f>
        <v>113.28755</v>
      </c>
      <c r="N507" s="146">
        <f>K507*I507</f>
        <v>52.718490000000003</v>
      </c>
      <c r="O507" s="146">
        <f>M507+N507</f>
        <v>166.00603999999998</v>
      </c>
      <c r="P507" s="146">
        <f>O507*$P$1</f>
        <v>42.597149863999995</v>
      </c>
      <c r="Q507" s="146">
        <f>P507+O507</f>
        <v>208.60318986399997</v>
      </c>
    </row>
    <row r="508" spans="1:17" s="25" customFormat="1" x14ac:dyDescent="0.25">
      <c r="A508" s="196" t="s">
        <v>22</v>
      </c>
      <c r="B508" s="197" t="s">
        <v>27</v>
      </c>
      <c r="C508" s="197">
        <v>88323</v>
      </c>
      <c r="D508" s="197"/>
      <c r="E508" s="198" t="s">
        <v>53</v>
      </c>
      <c r="F508" s="197" t="s">
        <v>29</v>
      </c>
      <c r="G508" s="199">
        <v>1.5</v>
      </c>
      <c r="H508" s="199">
        <v>22.84</v>
      </c>
      <c r="I508" s="199" t="s">
        <v>1193</v>
      </c>
      <c r="J508" s="199">
        <f t="shared" ref="J508:J509" si="37">0.27*H508*G508</f>
        <v>9.2501999999999995</v>
      </c>
      <c r="K508" s="199">
        <f t="shared" ref="K508:K509" si="38">0.726*H508*G508</f>
        <v>24.87276</v>
      </c>
      <c r="L508" s="199"/>
      <c r="M508" s="199"/>
      <c r="N508" s="199"/>
      <c r="O508" s="199"/>
      <c r="P508" s="199"/>
      <c r="Q508" s="199"/>
    </row>
    <row r="509" spans="1:17" s="25" customFormat="1" x14ac:dyDescent="0.25">
      <c r="A509" s="200" t="s">
        <v>22</v>
      </c>
      <c r="B509" s="201" t="s">
        <v>27</v>
      </c>
      <c r="C509" s="201">
        <v>88317</v>
      </c>
      <c r="D509" s="201"/>
      <c r="E509" s="202" t="s">
        <v>401</v>
      </c>
      <c r="F509" s="201" t="s">
        <v>29</v>
      </c>
      <c r="G509" s="203">
        <v>1.5</v>
      </c>
      <c r="H509" s="203">
        <v>25.57</v>
      </c>
      <c r="I509" s="203" t="s">
        <v>1193</v>
      </c>
      <c r="J509" s="203">
        <f t="shared" si="37"/>
        <v>10.35585</v>
      </c>
      <c r="K509" s="203">
        <f t="shared" si="38"/>
        <v>27.84573</v>
      </c>
      <c r="L509" s="203"/>
      <c r="M509" s="203"/>
      <c r="N509" s="203"/>
      <c r="O509" s="203"/>
      <c r="P509" s="203"/>
      <c r="Q509" s="203"/>
    </row>
    <row r="510" spans="1:17" s="25" customFormat="1" x14ac:dyDescent="0.25">
      <c r="A510" s="252" t="s">
        <v>877</v>
      </c>
      <c r="B510" s="201"/>
      <c r="C510" s="201"/>
      <c r="D510" s="201"/>
      <c r="E510" s="90" t="s">
        <v>402</v>
      </c>
      <c r="F510" s="89" t="s">
        <v>1215</v>
      </c>
      <c r="G510" s="91">
        <v>1</v>
      </c>
      <c r="H510" s="341">
        <f>'MAPA COTAÇÕES CIVIL'!$I$12</f>
        <v>90</v>
      </c>
      <c r="I510" s="193" t="s">
        <v>1193</v>
      </c>
      <c r="J510" s="193">
        <f t="shared" ref="J510:J512" si="39">G510*H510</f>
        <v>90</v>
      </c>
      <c r="K510" s="193"/>
      <c r="L510" s="193"/>
      <c r="M510" s="193"/>
      <c r="N510" s="193"/>
      <c r="O510" s="193"/>
      <c r="P510" s="193"/>
      <c r="Q510" s="193"/>
    </row>
    <row r="511" spans="1:17" s="25" customFormat="1" x14ac:dyDescent="0.25">
      <c r="A511" s="200" t="s">
        <v>35</v>
      </c>
      <c r="B511" s="201" t="s">
        <v>62</v>
      </c>
      <c r="C511" s="201" t="s">
        <v>403</v>
      </c>
      <c r="D511" s="201"/>
      <c r="E511" s="336" t="s">
        <v>404</v>
      </c>
      <c r="F511" s="201" t="s">
        <v>39</v>
      </c>
      <c r="G511" s="203">
        <v>0.15</v>
      </c>
      <c r="H511" s="203">
        <v>13.31</v>
      </c>
      <c r="I511" s="203" t="s">
        <v>1193</v>
      </c>
      <c r="J511" s="203">
        <f t="shared" si="39"/>
        <v>1.9964999999999999</v>
      </c>
      <c r="K511" s="203"/>
      <c r="L511" s="203"/>
      <c r="M511" s="203"/>
      <c r="N511" s="203"/>
      <c r="O511" s="203"/>
      <c r="P511" s="203"/>
      <c r="Q511" s="203"/>
    </row>
    <row r="512" spans="1:17" s="25" customFormat="1" x14ac:dyDescent="0.25">
      <c r="A512" s="196" t="s">
        <v>35</v>
      </c>
      <c r="B512" s="197" t="s">
        <v>62</v>
      </c>
      <c r="C512" s="197" t="s">
        <v>405</v>
      </c>
      <c r="D512" s="197"/>
      <c r="E512" s="335" t="s">
        <v>406</v>
      </c>
      <c r="F512" s="197" t="s">
        <v>407</v>
      </c>
      <c r="G512" s="199">
        <v>0.1</v>
      </c>
      <c r="H512" s="199">
        <v>16.850000000000001</v>
      </c>
      <c r="I512" s="199" t="s">
        <v>1193</v>
      </c>
      <c r="J512" s="199">
        <f t="shared" si="39"/>
        <v>1.6850000000000003</v>
      </c>
      <c r="K512" s="199"/>
      <c r="L512" s="199"/>
      <c r="M512" s="199"/>
      <c r="N512" s="199"/>
      <c r="O512" s="199"/>
      <c r="P512" s="199"/>
      <c r="Q512" s="199"/>
    </row>
    <row r="513" spans="1:17" s="25" customFormat="1" x14ac:dyDescent="0.25">
      <c r="A513" s="163"/>
      <c r="B513" s="101"/>
      <c r="C513" s="101"/>
      <c r="D513" s="101"/>
      <c r="E513" s="102"/>
      <c r="F513" s="101"/>
      <c r="G513" s="96"/>
      <c r="H513" s="96"/>
      <c r="I513" s="96" t="s">
        <v>1193</v>
      </c>
      <c r="J513" s="96"/>
      <c r="K513" s="96"/>
      <c r="L513" s="96"/>
      <c r="M513" s="96"/>
      <c r="N513" s="96"/>
      <c r="O513" s="96"/>
      <c r="P513" s="96"/>
      <c r="Q513" s="96"/>
    </row>
    <row r="514" spans="1:17" s="25" customFormat="1" ht="15.75" x14ac:dyDescent="0.25">
      <c r="A514" s="136"/>
      <c r="B514" s="97"/>
      <c r="C514" s="97"/>
      <c r="D514" s="97">
        <v>10</v>
      </c>
      <c r="E514" s="98" t="s">
        <v>408</v>
      </c>
      <c r="F514" s="97"/>
      <c r="G514" s="97"/>
      <c r="H514" s="330"/>
      <c r="I514" s="97" t="s">
        <v>1193</v>
      </c>
      <c r="J514" s="330"/>
      <c r="K514" s="330"/>
      <c r="L514" s="330"/>
      <c r="M514" s="330"/>
      <c r="N514" s="330"/>
      <c r="O514" s="330"/>
      <c r="P514" s="330"/>
      <c r="Q514" s="330">
        <f>SUM(Q516:Q700)</f>
        <v>6057.3646626572463</v>
      </c>
    </row>
    <row r="515" spans="1:17" s="25" customFormat="1" x14ac:dyDescent="0.25">
      <c r="A515" s="163"/>
      <c r="B515" s="101"/>
      <c r="C515" s="101"/>
      <c r="D515" s="101"/>
      <c r="E515" s="102"/>
      <c r="F515" s="101"/>
      <c r="G515" s="96"/>
      <c r="H515" s="96"/>
      <c r="I515" s="96" t="s">
        <v>1193</v>
      </c>
      <c r="J515" s="96"/>
      <c r="K515" s="96"/>
      <c r="L515" s="96"/>
      <c r="M515" s="96"/>
      <c r="N515" s="96"/>
      <c r="O515" s="96"/>
      <c r="P515" s="96"/>
      <c r="Q515" s="96"/>
    </row>
    <row r="516" spans="1:17" s="25" customFormat="1" ht="66" customHeight="1" x14ac:dyDescent="0.25">
      <c r="A516" s="149" t="s">
        <v>22</v>
      </c>
      <c r="B516" s="148"/>
      <c r="C516" s="148">
        <v>95472</v>
      </c>
      <c r="D516" s="143" t="s">
        <v>409</v>
      </c>
      <c r="E516" s="144" t="s">
        <v>410</v>
      </c>
      <c r="F516" s="143" t="s">
        <v>1215</v>
      </c>
      <c r="G516" s="146"/>
      <c r="H516" s="146"/>
      <c r="I516" s="146">
        <v>1</v>
      </c>
      <c r="J516" s="146">
        <f>SUM(J517:J518)</f>
        <v>825.74376959999995</v>
      </c>
      <c r="K516" s="146">
        <f>SUM(K517:K518)</f>
        <v>25.704671999999999</v>
      </c>
      <c r="L516" s="146">
        <f>J516+K516</f>
        <v>851.44844159999991</v>
      </c>
      <c r="M516" s="146">
        <f>J516*I516</f>
        <v>825.74376959999995</v>
      </c>
      <c r="N516" s="146">
        <f>K516*I516</f>
        <v>25.704671999999999</v>
      </c>
      <c r="O516" s="146">
        <f>M516+N516</f>
        <v>851.44844159999991</v>
      </c>
      <c r="P516" s="146">
        <f>O516*$P$1</f>
        <v>218.48167011455996</v>
      </c>
      <c r="Q516" s="146">
        <f>P516+O516</f>
        <v>1069.9301117145599</v>
      </c>
    </row>
    <row r="517" spans="1:17" s="25" customFormat="1" x14ac:dyDescent="0.25">
      <c r="A517" s="200" t="s">
        <v>22</v>
      </c>
      <c r="B517" s="201" t="s">
        <v>27</v>
      </c>
      <c r="C517" s="201">
        <v>95471</v>
      </c>
      <c r="D517" s="201"/>
      <c r="E517" s="202" t="s">
        <v>411</v>
      </c>
      <c r="F517" s="201" t="s">
        <v>1215</v>
      </c>
      <c r="G517" s="203">
        <v>1</v>
      </c>
      <c r="H517" s="203">
        <v>844.16</v>
      </c>
      <c r="I517" s="203" t="s">
        <v>1193</v>
      </c>
      <c r="J517" s="203">
        <f>0.96956*G517*H517</f>
        <v>818.46376959999998</v>
      </c>
      <c r="K517" s="203">
        <f>0.03045*G517*H517</f>
        <v>25.704671999999999</v>
      </c>
      <c r="L517" s="203"/>
      <c r="M517" s="203"/>
      <c r="N517" s="203"/>
      <c r="O517" s="203"/>
      <c r="P517" s="203"/>
      <c r="Q517" s="203"/>
    </row>
    <row r="518" spans="1:17" s="25" customFormat="1" ht="30" x14ac:dyDescent="0.25">
      <c r="A518" s="196" t="s">
        <v>22</v>
      </c>
      <c r="B518" s="197" t="s">
        <v>62</v>
      </c>
      <c r="C518" s="197">
        <v>6142</v>
      </c>
      <c r="D518" s="197"/>
      <c r="E518" s="243" t="s">
        <v>412</v>
      </c>
      <c r="F518" s="197" t="s">
        <v>1215</v>
      </c>
      <c r="G518" s="199">
        <v>1</v>
      </c>
      <c r="H518" s="199">
        <v>7.28</v>
      </c>
      <c r="I518" s="199" t="s">
        <v>1193</v>
      </c>
      <c r="J518" s="199">
        <f>H518*G518</f>
        <v>7.28</v>
      </c>
      <c r="K518" s="199"/>
      <c r="L518" s="199"/>
      <c r="M518" s="199"/>
      <c r="N518" s="199"/>
      <c r="O518" s="199"/>
      <c r="P518" s="199"/>
      <c r="Q518" s="199"/>
    </row>
    <row r="519" spans="1:17" s="25" customFormat="1" x14ac:dyDescent="0.25">
      <c r="A519" s="163"/>
      <c r="B519" s="101"/>
      <c r="C519" s="101"/>
      <c r="D519" s="101"/>
      <c r="E519" s="102"/>
      <c r="F519" s="101"/>
      <c r="G519" s="96"/>
      <c r="H519" s="96"/>
      <c r="I519" s="96" t="s">
        <v>1193</v>
      </c>
      <c r="J519" s="96"/>
      <c r="K519" s="96"/>
      <c r="L519" s="96"/>
      <c r="M519" s="96"/>
      <c r="N519" s="96"/>
      <c r="O519" s="96"/>
      <c r="P519" s="96"/>
      <c r="Q519" s="96"/>
    </row>
    <row r="520" spans="1:17" s="25" customFormat="1" ht="30" x14ac:dyDescent="0.25">
      <c r="A520" s="149" t="s">
        <v>22</v>
      </c>
      <c r="B520" s="148"/>
      <c r="C520" s="148">
        <v>86932</v>
      </c>
      <c r="D520" s="143" t="s">
        <v>413</v>
      </c>
      <c r="E520" s="144" t="s">
        <v>414</v>
      </c>
      <c r="F520" s="143" t="s">
        <v>1215</v>
      </c>
      <c r="G520" s="146"/>
      <c r="H520" s="146"/>
      <c r="I520" s="146">
        <v>1</v>
      </c>
      <c r="J520" s="146">
        <f>SUM(J521:J522)</f>
        <v>402.27749999999997</v>
      </c>
      <c r="K520" s="146">
        <f>SUM(K521:K522)</f>
        <v>21.172499999999999</v>
      </c>
      <c r="L520" s="146">
        <f>J520+K520</f>
        <v>423.45</v>
      </c>
      <c r="M520" s="146">
        <f>J520*I520</f>
        <v>402.27749999999997</v>
      </c>
      <c r="N520" s="146">
        <f>K520*I520</f>
        <v>21.172499999999999</v>
      </c>
      <c r="O520" s="146">
        <f>M520+N520</f>
        <v>423.45</v>
      </c>
      <c r="P520" s="146">
        <f>O520*$P$1</f>
        <v>108.65727</v>
      </c>
      <c r="Q520" s="146">
        <f>P520+O520</f>
        <v>532.10726999999997</v>
      </c>
    </row>
    <row r="521" spans="1:17" s="25" customFormat="1" ht="30" x14ac:dyDescent="0.25">
      <c r="A521" s="200" t="s">
        <v>22</v>
      </c>
      <c r="B521" s="201" t="s">
        <v>27</v>
      </c>
      <c r="C521" s="201">
        <v>86888</v>
      </c>
      <c r="D521" s="201"/>
      <c r="E521" s="244" t="s">
        <v>414</v>
      </c>
      <c r="F521" s="201" t="s">
        <v>1215</v>
      </c>
      <c r="G521" s="203">
        <v>1</v>
      </c>
      <c r="H521" s="199">
        <v>379.9</v>
      </c>
      <c r="I521" s="203" t="s">
        <v>1193</v>
      </c>
      <c r="J521" s="203">
        <f t="shared" ref="J521:J522" si="40">H521*0.95</f>
        <v>360.90499999999997</v>
      </c>
      <c r="K521" s="203">
        <f t="shared" ref="K521:K522" si="41">H521*0.05</f>
        <v>18.995000000000001</v>
      </c>
      <c r="L521" s="203"/>
      <c r="M521" s="203"/>
      <c r="N521" s="203"/>
      <c r="O521" s="203"/>
      <c r="P521" s="203"/>
      <c r="Q521" s="203"/>
    </row>
    <row r="522" spans="1:17" s="25" customFormat="1" x14ac:dyDescent="0.25">
      <c r="A522" s="196" t="s">
        <v>22</v>
      </c>
      <c r="B522" s="197" t="s">
        <v>27</v>
      </c>
      <c r="C522" s="197">
        <v>86887</v>
      </c>
      <c r="D522" s="197"/>
      <c r="E522" s="198" t="s">
        <v>415</v>
      </c>
      <c r="F522" s="197" t="s">
        <v>1215</v>
      </c>
      <c r="G522" s="199">
        <v>1</v>
      </c>
      <c r="H522" s="199">
        <v>43.55</v>
      </c>
      <c r="I522" s="199" t="s">
        <v>1193</v>
      </c>
      <c r="J522" s="199">
        <f t="shared" si="40"/>
        <v>41.372499999999995</v>
      </c>
      <c r="K522" s="199">
        <f t="shared" si="41"/>
        <v>2.1774999999999998</v>
      </c>
      <c r="L522" s="199"/>
      <c r="M522" s="199"/>
      <c r="N522" s="199"/>
      <c r="O522" s="199"/>
      <c r="P522" s="199"/>
      <c r="Q522" s="199"/>
    </row>
    <row r="523" spans="1:17" s="25" customFormat="1" x14ac:dyDescent="0.25">
      <c r="A523" s="163"/>
      <c r="B523" s="101"/>
      <c r="C523" s="101"/>
      <c r="D523" s="101"/>
      <c r="E523" s="102"/>
      <c r="F523" s="101"/>
      <c r="G523" s="96"/>
      <c r="H523" s="96"/>
      <c r="I523" s="96" t="s">
        <v>1193</v>
      </c>
      <c r="J523" s="96"/>
      <c r="K523" s="96"/>
      <c r="L523" s="96"/>
      <c r="M523" s="96"/>
      <c r="N523" s="96"/>
      <c r="O523" s="96"/>
      <c r="P523" s="96"/>
      <c r="Q523" s="96"/>
    </row>
    <row r="524" spans="1:17" s="25" customFormat="1" ht="67.150000000000006" customHeight="1" x14ac:dyDescent="0.25">
      <c r="A524" s="149" t="s">
        <v>22</v>
      </c>
      <c r="B524" s="148"/>
      <c r="C524" s="148" t="s">
        <v>416</v>
      </c>
      <c r="D524" s="143" t="s">
        <v>417</v>
      </c>
      <c r="E524" s="144" t="s">
        <v>418</v>
      </c>
      <c r="F524" s="143" t="s">
        <v>1215</v>
      </c>
      <c r="G524" s="146"/>
      <c r="H524" s="146"/>
      <c r="I524" s="146">
        <v>1</v>
      </c>
      <c r="J524" s="146">
        <f>SUM(J525:J529)</f>
        <v>238.29300000000001</v>
      </c>
      <c r="K524" s="146">
        <f>SUM(K525:K529)</f>
        <v>26.477</v>
      </c>
      <c r="L524" s="146">
        <f>J524+K524</f>
        <v>264.77</v>
      </c>
      <c r="M524" s="146">
        <f>J524*I524</f>
        <v>238.29300000000001</v>
      </c>
      <c r="N524" s="146">
        <f>K524*I524</f>
        <v>26.477</v>
      </c>
      <c r="O524" s="146">
        <f>M524+N524</f>
        <v>264.77</v>
      </c>
      <c r="P524" s="146">
        <f>O524*$P$1</f>
        <v>67.939982000000001</v>
      </c>
      <c r="Q524" s="146">
        <f>P524+O524</f>
        <v>332.70998199999997</v>
      </c>
    </row>
    <row r="525" spans="1:17" s="25" customFormat="1" x14ac:dyDescent="0.25">
      <c r="A525" s="200" t="s">
        <v>22</v>
      </c>
      <c r="B525" s="201" t="s">
        <v>27</v>
      </c>
      <c r="C525" s="201">
        <v>86879</v>
      </c>
      <c r="D525" s="201"/>
      <c r="E525" s="244" t="s">
        <v>419</v>
      </c>
      <c r="F525" s="201" t="s">
        <v>1215</v>
      </c>
      <c r="G525" s="203">
        <v>1</v>
      </c>
      <c r="H525" s="203">
        <v>6.25</v>
      </c>
      <c r="I525" s="203" t="s">
        <v>1193</v>
      </c>
      <c r="J525" s="203">
        <f t="shared" ref="J525:J529" si="42">G525*H525*0.9</f>
        <v>5.625</v>
      </c>
      <c r="K525" s="203">
        <f t="shared" ref="K525:K529" si="43">G525*H525*0.1</f>
        <v>0.625</v>
      </c>
      <c r="L525" s="203"/>
      <c r="M525" s="203"/>
      <c r="N525" s="203"/>
      <c r="O525" s="203"/>
      <c r="P525" s="203"/>
      <c r="Q525" s="203"/>
    </row>
    <row r="526" spans="1:17" s="25" customFormat="1" x14ac:dyDescent="0.25">
      <c r="A526" s="196" t="s">
        <v>22</v>
      </c>
      <c r="B526" s="197" t="s">
        <v>27</v>
      </c>
      <c r="C526" s="197">
        <v>86882</v>
      </c>
      <c r="D526" s="197"/>
      <c r="E526" s="243" t="s">
        <v>420</v>
      </c>
      <c r="F526" s="197" t="s">
        <v>1215</v>
      </c>
      <c r="G526" s="199">
        <v>1</v>
      </c>
      <c r="H526" s="199">
        <v>17.399999999999999</v>
      </c>
      <c r="I526" s="199" t="s">
        <v>1193</v>
      </c>
      <c r="J526" s="199">
        <f t="shared" si="42"/>
        <v>15.659999999999998</v>
      </c>
      <c r="K526" s="199">
        <f t="shared" si="43"/>
        <v>1.74</v>
      </c>
      <c r="L526" s="199"/>
      <c r="M526" s="199"/>
      <c r="N526" s="199"/>
      <c r="O526" s="199"/>
      <c r="P526" s="199"/>
      <c r="Q526" s="199"/>
    </row>
    <row r="527" spans="1:17" s="25" customFormat="1" ht="30" x14ac:dyDescent="0.25">
      <c r="A527" s="200" t="s">
        <v>22</v>
      </c>
      <c r="B527" s="205" t="s">
        <v>421</v>
      </c>
      <c r="C527" s="201">
        <v>86887</v>
      </c>
      <c r="D527" s="201"/>
      <c r="E527" s="244" t="s">
        <v>415</v>
      </c>
      <c r="F527" s="201" t="s">
        <v>1215</v>
      </c>
      <c r="G527" s="203">
        <v>1</v>
      </c>
      <c r="H527" s="203">
        <v>54.55</v>
      </c>
      <c r="I527" s="203" t="s">
        <v>1193</v>
      </c>
      <c r="J527" s="203">
        <f t="shared" si="42"/>
        <v>49.094999999999999</v>
      </c>
      <c r="K527" s="203">
        <f t="shared" si="43"/>
        <v>5.4550000000000001</v>
      </c>
      <c r="L527" s="203"/>
      <c r="M527" s="203"/>
      <c r="N527" s="203"/>
      <c r="O527" s="203"/>
      <c r="P527" s="203"/>
      <c r="Q527" s="203"/>
    </row>
    <row r="528" spans="1:17" s="25" customFormat="1" ht="45" x14ac:dyDescent="0.25">
      <c r="A528" s="196" t="s">
        <v>22</v>
      </c>
      <c r="B528" s="197" t="s">
        <v>27</v>
      </c>
      <c r="C528" s="197">
        <v>86904</v>
      </c>
      <c r="D528" s="197"/>
      <c r="E528" s="243" t="s">
        <v>418</v>
      </c>
      <c r="F528" s="197" t="s">
        <v>1215</v>
      </c>
      <c r="G528" s="199">
        <v>1</v>
      </c>
      <c r="H528" s="199">
        <v>139.63</v>
      </c>
      <c r="I528" s="199" t="s">
        <v>1193</v>
      </c>
      <c r="J528" s="199">
        <f t="shared" si="42"/>
        <v>125.667</v>
      </c>
      <c r="K528" s="199">
        <f t="shared" si="43"/>
        <v>13.963000000000001</v>
      </c>
      <c r="L528" s="199"/>
      <c r="M528" s="199"/>
      <c r="N528" s="199"/>
      <c r="O528" s="199"/>
      <c r="P528" s="199"/>
      <c r="Q528" s="199"/>
    </row>
    <row r="529" spans="1:18" s="25" customFormat="1" x14ac:dyDescent="0.25">
      <c r="A529" s="200" t="s">
        <v>22</v>
      </c>
      <c r="B529" s="201" t="s">
        <v>27</v>
      </c>
      <c r="C529" s="201">
        <v>86906</v>
      </c>
      <c r="D529" s="201"/>
      <c r="E529" s="244" t="s">
        <v>422</v>
      </c>
      <c r="F529" s="201" t="s">
        <v>1215</v>
      </c>
      <c r="G529" s="203">
        <v>1</v>
      </c>
      <c r="H529" s="203">
        <v>46.94</v>
      </c>
      <c r="I529" s="203" t="s">
        <v>1193</v>
      </c>
      <c r="J529" s="203">
        <f t="shared" si="42"/>
        <v>42.246000000000002</v>
      </c>
      <c r="K529" s="203">
        <f t="shared" si="43"/>
        <v>4.694</v>
      </c>
      <c r="L529" s="203"/>
      <c r="M529" s="203"/>
      <c r="N529" s="203"/>
      <c r="O529" s="203"/>
      <c r="P529" s="203"/>
      <c r="Q529" s="203"/>
    </row>
    <row r="530" spans="1:18" s="25" customFormat="1" x14ac:dyDescent="0.25">
      <c r="A530" s="159"/>
      <c r="B530" s="160"/>
      <c r="C530" s="160"/>
      <c r="D530" s="160"/>
      <c r="E530" s="161"/>
      <c r="F530" s="160"/>
      <c r="G530" s="162"/>
      <c r="H530" s="162"/>
      <c r="I530" s="162" t="s">
        <v>1193</v>
      </c>
      <c r="J530" s="162"/>
      <c r="K530" s="162"/>
      <c r="L530" s="162"/>
      <c r="M530" s="162"/>
      <c r="N530" s="162"/>
      <c r="O530" s="162"/>
      <c r="P530" s="162"/>
      <c r="Q530" s="162"/>
    </row>
    <row r="531" spans="1:18" s="25" customFormat="1" ht="75" customHeight="1" x14ac:dyDescent="0.25">
      <c r="A531" s="149" t="s">
        <v>22</v>
      </c>
      <c r="B531" s="148"/>
      <c r="C531" s="148">
        <v>86902</v>
      </c>
      <c r="D531" s="143" t="s">
        <v>423</v>
      </c>
      <c r="E531" s="144" t="s">
        <v>424</v>
      </c>
      <c r="F531" s="143" t="s">
        <v>1215</v>
      </c>
      <c r="G531" s="146"/>
      <c r="H531" s="146"/>
      <c r="I531" s="146">
        <v>1</v>
      </c>
      <c r="J531" s="146">
        <f>SUM(J532:J536)</f>
        <v>245.90305609319998</v>
      </c>
      <c r="K531" s="146">
        <f>SUM(K532:K536)</f>
        <v>21.679549029199997</v>
      </c>
      <c r="L531" s="146">
        <f>J531+K531</f>
        <v>267.58260512239997</v>
      </c>
      <c r="M531" s="146">
        <f>J531*I531</f>
        <v>245.90305609319998</v>
      </c>
      <c r="N531" s="146">
        <f>K531*I531</f>
        <v>21.679549029199997</v>
      </c>
      <c r="O531" s="146">
        <f>M531+N531</f>
        <v>267.58260512239997</v>
      </c>
      <c r="P531" s="146">
        <f>O531*$P$1</f>
        <v>68.661696474407833</v>
      </c>
      <c r="Q531" s="146">
        <f>P531+O531</f>
        <v>336.24430159680782</v>
      </c>
    </row>
    <row r="532" spans="1:18" s="25" customFormat="1" x14ac:dyDescent="0.25">
      <c r="A532" s="196" t="s">
        <v>22</v>
      </c>
      <c r="B532" s="197" t="s">
        <v>27</v>
      </c>
      <c r="C532" s="197">
        <v>88267</v>
      </c>
      <c r="D532" s="197"/>
      <c r="E532" s="243" t="s">
        <v>119</v>
      </c>
      <c r="F532" s="197" t="s">
        <v>29</v>
      </c>
      <c r="G532" s="199">
        <v>0.87880000000000003</v>
      </c>
      <c r="H532" s="199">
        <v>24.02</v>
      </c>
      <c r="I532" s="199" t="s">
        <v>1193</v>
      </c>
      <c r="J532" s="199">
        <f>0.2417*H532*G532</f>
        <v>5.1019911591999998</v>
      </c>
      <c r="K532" s="199">
        <f>0.7582*H532*G532</f>
        <v>16.004673963199998</v>
      </c>
      <c r="L532" s="199"/>
      <c r="M532" s="199"/>
      <c r="N532" s="199"/>
      <c r="O532" s="199"/>
      <c r="P532" s="199"/>
      <c r="Q532" s="199"/>
    </row>
    <row r="533" spans="1:18" s="25" customFormat="1" x14ac:dyDescent="0.25">
      <c r="A533" s="200" t="s">
        <v>22</v>
      </c>
      <c r="B533" s="201" t="s">
        <v>27</v>
      </c>
      <c r="C533" s="201">
        <v>88316</v>
      </c>
      <c r="D533" s="201"/>
      <c r="E533" s="244" t="s">
        <v>30</v>
      </c>
      <c r="F533" s="201" t="s">
        <v>29</v>
      </c>
      <c r="G533" s="203">
        <v>0.44429999999999997</v>
      </c>
      <c r="H533" s="203">
        <v>18.899999999999999</v>
      </c>
      <c r="I533" s="203" t="s">
        <v>1193</v>
      </c>
      <c r="J533" s="203">
        <f>0.3242*H533*G533</f>
        <v>2.7223949339999995</v>
      </c>
      <c r="K533" s="203">
        <f>0.6758*H533*G533</f>
        <v>5.6748750659999985</v>
      </c>
      <c r="L533" s="203"/>
      <c r="M533" s="203"/>
      <c r="N533" s="203"/>
      <c r="O533" s="203"/>
      <c r="P533" s="203"/>
      <c r="Q533" s="203"/>
    </row>
    <row r="534" spans="1:18" s="25" customFormat="1" x14ac:dyDescent="0.25">
      <c r="A534" s="196" t="s">
        <v>22</v>
      </c>
      <c r="B534" s="197" t="s">
        <v>62</v>
      </c>
      <c r="C534" s="197">
        <v>4351</v>
      </c>
      <c r="D534" s="197"/>
      <c r="E534" s="243" t="s">
        <v>425</v>
      </c>
      <c r="F534" s="197" t="s">
        <v>1215</v>
      </c>
      <c r="G534" s="199">
        <v>6</v>
      </c>
      <c r="H534" s="199">
        <v>17.71</v>
      </c>
      <c r="I534" s="199" t="s">
        <v>1193</v>
      </c>
      <c r="J534" s="199">
        <f t="shared" ref="J534:J536" si="44">G534*H534</f>
        <v>106.26</v>
      </c>
      <c r="K534" s="199"/>
      <c r="L534" s="199"/>
      <c r="M534" s="199"/>
      <c r="N534" s="199"/>
      <c r="O534" s="199"/>
      <c r="P534" s="199"/>
      <c r="Q534" s="199"/>
    </row>
    <row r="535" spans="1:18" s="25" customFormat="1" x14ac:dyDescent="0.25">
      <c r="A535" s="200" t="s">
        <v>22</v>
      </c>
      <c r="B535" s="201" t="s">
        <v>62</v>
      </c>
      <c r="C535" s="201">
        <v>36794</v>
      </c>
      <c r="D535" s="201"/>
      <c r="E535" s="244" t="s">
        <v>426</v>
      </c>
      <c r="F535" s="201" t="s">
        <v>1215</v>
      </c>
      <c r="G535" s="203">
        <v>1</v>
      </c>
      <c r="H535" s="199">
        <v>126.71</v>
      </c>
      <c r="I535" s="203" t="s">
        <v>1193</v>
      </c>
      <c r="J535" s="203">
        <f t="shared" si="44"/>
        <v>126.71</v>
      </c>
      <c r="K535" s="203"/>
      <c r="L535" s="203"/>
      <c r="M535" s="203"/>
      <c r="N535" s="203"/>
      <c r="O535" s="203"/>
      <c r="P535" s="203"/>
      <c r="Q535" s="203"/>
    </row>
    <row r="536" spans="1:18" s="25" customFormat="1" x14ac:dyDescent="0.25">
      <c r="A536" s="196" t="s">
        <v>22</v>
      </c>
      <c r="B536" s="197" t="s">
        <v>62</v>
      </c>
      <c r="C536" s="197">
        <v>37329</v>
      </c>
      <c r="D536" s="197"/>
      <c r="E536" s="243" t="s">
        <v>427</v>
      </c>
      <c r="F536" s="197" t="s">
        <v>64</v>
      </c>
      <c r="G536" s="199">
        <v>7.6499999999999999E-2</v>
      </c>
      <c r="H536" s="199">
        <v>66.78</v>
      </c>
      <c r="I536" s="199" t="s">
        <v>1193</v>
      </c>
      <c r="J536" s="199">
        <f t="shared" si="44"/>
        <v>5.10867</v>
      </c>
      <c r="K536" s="199"/>
      <c r="L536" s="199"/>
      <c r="M536" s="199"/>
      <c r="N536" s="199"/>
      <c r="O536" s="199"/>
      <c r="P536" s="199"/>
      <c r="Q536" s="199"/>
    </row>
    <row r="537" spans="1:18" s="25" customFormat="1" x14ac:dyDescent="0.25">
      <c r="A537" s="163"/>
      <c r="B537" s="101"/>
      <c r="C537" s="101"/>
      <c r="D537" s="101"/>
      <c r="E537" s="102"/>
      <c r="F537" s="101"/>
      <c r="G537" s="96"/>
      <c r="H537" s="96"/>
      <c r="I537" s="96" t="s">
        <v>1193</v>
      </c>
      <c r="J537" s="96"/>
      <c r="K537" s="96"/>
      <c r="L537" s="96"/>
      <c r="M537" s="96"/>
      <c r="N537" s="96"/>
      <c r="O537" s="96"/>
      <c r="P537" s="96"/>
      <c r="Q537" s="96"/>
    </row>
    <row r="538" spans="1:18" s="25" customFormat="1" ht="30.6" customHeight="1" x14ac:dyDescent="0.25">
      <c r="A538" s="149" t="s">
        <v>22</v>
      </c>
      <c r="B538" s="148"/>
      <c r="C538" s="148">
        <v>100849</v>
      </c>
      <c r="D538" s="143" t="s">
        <v>428</v>
      </c>
      <c r="E538" s="144" t="s">
        <v>429</v>
      </c>
      <c r="F538" s="143" t="s">
        <v>1215</v>
      </c>
      <c r="G538" s="146"/>
      <c r="H538" s="146"/>
      <c r="I538" s="146">
        <v>1</v>
      </c>
      <c r="J538" s="146">
        <f>SUM(J539:J541)</f>
        <v>36.938310574399999</v>
      </c>
      <c r="K538" s="146">
        <f>SUM(K539:K541)</f>
        <v>3.4155524783999995</v>
      </c>
      <c r="L538" s="146">
        <f>J538+K538</f>
        <v>40.353863052800001</v>
      </c>
      <c r="M538" s="146">
        <f>J538*I538</f>
        <v>36.938310574399999</v>
      </c>
      <c r="N538" s="146">
        <f>K538*I538</f>
        <v>3.4155524783999995</v>
      </c>
      <c r="O538" s="146">
        <f>M538+N538</f>
        <v>40.353863052800001</v>
      </c>
      <c r="P538" s="146">
        <f>O538*$P$1</f>
        <v>10.354801259348481</v>
      </c>
      <c r="Q538" s="146">
        <f>P538+O538</f>
        <v>50.708664312148485</v>
      </c>
    </row>
    <row r="539" spans="1:18" s="25" customFormat="1" x14ac:dyDescent="0.25">
      <c r="A539" s="200" t="s">
        <v>22</v>
      </c>
      <c r="B539" s="201" t="s">
        <v>27</v>
      </c>
      <c r="C539" s="201">
        <v>88267</v>
      </c>
      <c r="D539" s="201"/>
      <c r="E539" s="244" t="s">
        <v>119</v>
      </c>
      <c r="F539" s="201" t="s">
        <v>29</v>
      </c>
      <c r="G539" s="201">
        <v>0.15359999999999999</v>
      </c>
      <c r="H539" s="203">
        <v>24.02</v>
      </c>
      <c r="I539" s="203" t="s">
        <v>1193</v>
      </c>
      <c r="J539" s="203">
        <f>0.2417*H539*G539</f>
        <v>0.8917453823999999</v>
      </c>
      <c r="K539" s="203">
        <f>0.7582*H539*G539</f>
        <v>2.7973576703999994</v>
      </c>
      <c r="L539" s="203"/>
      <c r="M539" s="203"/>
      <c r="N539" s="203"/>
      <c r="O539" s="203"/>
      <c r="P539" s="203"/>
      <c r="Q539" s="203"/>
    </row>
    <row r="540" spans="1:18" s="25" customFormat="1" x14ac:dyDescent="0.25">
      <c r="A540" s="196" t="s">
        <v>22</v>
      </c>
      <c r="B540" s="197" t="s">
        <v>27</v>
      </c>
      <c r="C540" s="197">
        <v>88316</v>
      </c>
      <c r="D540" s="197"/>
      <c r="E540" s="243" t="s">
        <v>30</v>
      </c>
      <c r="F540" s="197" t="s">
        <v>29</v>
      </c>
      <c r="G540" s="197">
        <v>4.8399999999999999E-2</v>
      </c>
      <c r="H540" s="203">
        <v>18.899999999999999</v>
      </c>
      <c r="I540" s="199" t="s">
        <v>1193</v>
      </c>
      <c r="J540" s="199">
        <f>0.3242*H540*G540</f>
        <v>0.29656519199999998</v>
      </c>
      <c r="K540" s="199">
        <f>0.6758*H540*G540</f>
        <v>0.61819480799999993</v>
      </c>
      <c r="L540" s="199"/>
      <c r="M540" s="199"/>
      <c r="N540" s="199"/>
      <c r="O540" s="199"/>
      <c r="P540" s="199"/>
      <c r="Q540" s="199"/>
    </row>
    <row r="541" spans="1:18" s="25" customFormat="1" x14ac:dyDescent="0.25">
      <c r="A541" s="200" t="s">
        <v>22</v>
      </c>
      <c r="B541" s="201" t="s">
        <v>62</v>
      </c>
      <c r="C541" s="201">
        <v>377</v>
      </c>
      <c r="D541" s="201"/>
      <c r="E541" s="244" t="s">
        <v>430</v>
      </c>
      <c r="F541" s="201" t="s">
        <v>1215</v>
      </c>
      <c r="G541" s="201">
        <v>1</v>
      </c>
      <c r="H541" s="199">
        <v>35.75</v>
      </c>
      <c r="I541" s="203" t="s">
        <v>1193</v>
      </c>
      <c r="J541" s="203">
        <f>G541*H541</f>
        <v>35.75</v>
      </c>
      <c r="K541" s="203"/>
      <c r="L541" s="203"/>
      <c r="M541" s="203"/>
      <c r="N541" s="203"/>
      <c r="O541" s="203"/>
      <c r="P541" s="203"/>
      <c r="Q541" s="203"/>
    </row>
    <row r="542" spans="1:18" s="25" customFormat="1" x14ac:dyDescent="0.25">
      <c r="A542" s="159"/>
      <c r="B542" s="160"/>
      <c r="C542" s="160"/>
      <c r="D542" s="160"/>
      <c r="E542" s="161"/>
      <c r="F542" s="160"/>
      <c r="G542" s="162"/>
      <c r="H542" s="162"/>
      <c r="I542" s="162" t="s">
        <v>1193</v>
      </c>
      <c r="J542" s="162"/>
      <c r="K542" s="162"/>
      <c r="L542" s="162"/>
      <c r="M542" s="162"/>
      <c r="N542" s="162"/>
      <c r="O542" s="162"/>
      <c r="P542" s="162"/>
      <c r="Q542" s="162"/>
    </row>
    <row r="543" spans="1:18" s="189" customFormat="1" ht="15.75" x14ac:dyDescent="0.25">
      <c r="A543" s="183"/>
      <c r="B543" s="184"/>
      <c r="C543" s="184"/>
      <c r="D543" s="185"/>
      <c r="E543" s="186" t="s">
        <v>431</v>
      </c>
      <c r="F543" s="185"/>
      <c r="G543" s="187"/>
      <c r="H543" s="188"/>
      <c r="I543" s="187" t="s">
        <v>1193</v>
      </c>
      <c r="J543" s="187"/>
      <c r="K543" s="187"/>
      <c r="L543" s="187"/>
      <c r="M543" s="187"/>
      <c r="N543" s="187"/>
      <c r="O543" s="187"/>
      <c r="P543" s="188"/>
      <c r="Q543" s="188"/>
      <c r="R543" s="25"/>
    </row>
    <row r="544" spans="1:18" s="25" customFormat="1" ht="59.45" customHeight="1" x14ac:dyDescent="0.25">
      <c r="A544" s="149" t="s">
        <v>22</v>
      </c>
      <c r="B544" s="148"/>
      <c r="C544" s="148">
        <v>100866</v>
      </c>
      <c r="D544" s="143" t="s">
        <v>432</v>
      </c>
      <c r="E544" s="144" t="s">
        <v>433</v>
      </c>
      <c r="F544" s="143" t="s">
        <v>1215</v>
      </c>
      <c r="G544" s="146"/>
      <c r="H544" s="146"/>
      <c r="I544" s="146">
        <v>1</v>
      </c>
      <c r="J544" s="146">
        <f>SUM(J545:J548)</f>
        <v>285.77750499299998</v>
      </c>
      <c r="K544" s="146">
        <f>SUM(K545:K548)</f>
        <v>21.09050671</v>
      </c>
      <c r="L544" s="146">
        <f>J544+K544</f>
        <v>306.86801170299998</v>
      </c>
      <c r="M544" s="146">
        <f>J544*I544</f>
        <v>285.77750499299998</v>
      </c>
      <c r="N544" s="146">
        <f>K544*I544</f>
        <v>21.09050671</v>
      </c>
      <c r="O544" s="146">
        <f>M544+N544</f>
        <v>306.86801170299998</v>
      </c>
      <c r="P544" s="146">
        <f>O544*$P$1</f>
        <v>78.742331802989796</v>
      </c>
      <c r="Q544" s="146">
        <f>P544+O544</f>
        <v>385.61034350598976</v>
      </c>
    </row>
    <row r="545" spans="1:17" s="25" customFormat="1" x14ac:dyDescent="0.25">
      <c r="A545" s="200" t="s">
        <v>22</v>
      </c>
      <c r="B545" s="201" t="s">
        <v>27</v>
      </c>
      <c r="C545" s="201">
        <v>88267</v>
      </c>
      <c r="D545" s="201"/>
      <c r="E545" s="244" t="s">
        <v>119</v>
      </c>
      <c r="F545" s="201" t="s">
        <v>29</v>
      </c>
      <c r="G545" s="201">
        <v>0.94850000000000001</v>
      </c>
      <c r="H545" s="203">
        <v>24.02</v>
      </c>
      <c r="I545" s="203" t="s">
        <v>1193</v>
      </c>
      <c r="J545" s="203">
        <f>0.2417*H545*G545</f>
        <v>5.5066438489999996</v>
      </c>
      <c r="K545" s="203">
        <f>0.7582*H545*G545</f>
        <v>17.274047853999999</v>
      </c>
      <c r="L545" s="203"/>
      <c r="M545" s="203"/>
      <c r="N545" s="203"/>
      <c r="O545" s="203"/>
      <c r="P545" s="203"/>
      <c r="Q545" s="203"/>
    </row>
    <row r="546" spans="1:17" s="25" customFormat="1" x14ac:dyDescent="0.25">
      <c r="A546" s="196" t="s">
        <v>22</v>
      </c>
      <c r="B546" s="197" t="s">
        <v>27</v>
      </c>
      <c r="C546" s="197">
        <v>88316</v>
      </c>
      <c r="D546" s="197"/>
      <c r="E546" s="243" t="s">
        <v>30</v>
      </c>
      <c r="F546" s="197" t="s">
        <v>29</v>
      </c>
      <c r="G546" s="197">
        <v>0.29880000000000001</v>
      </c>
      <c r="H546" s="203">
        <v>18.899999999999999</v>
      </c>
      <c r="I546" s="199" t="s">
        <v>1193</v>
      </c>
      <c r="J546" s="199">
        <f>0.3242*H546*G546</f>
        <v>1.830861144</v>
      </c>
      <c r="K546" s="199">
        <f>0.6758*H546*G546</f>
        <v>3.8164588559999997</v>
      </c>
      <c r="L546" s="199"/>
      <c r="M546" s="199"/>
      <c r="N546" s="199"/>
      <c r="O546" s="199"/>
      <c r="P546" s="199"/>
      <c r="Q546" s="199"/>
    </row>
    <row r="547" spans="1:17" s="25" customFormat="1" ht="30" x14ac:dyDescent="0.25">
      <c r="A547" s="200" t="s">
        <v>22</v>
      </c>
      <c r="B547" s="201" t="s">
        <v>62</v>
      </c>
      <c r="C547" s="201">
        <v>4351</v>
      </c>
      <c r="D547" s="201"/>
      <c r="E547" s="244" t="s">
        <v>434</v>
      </c>
      <c r="F547" s="201" t="s">
        <v>1215</v>
      </c>
      <c r="G547" s="201">
        <v>6</v>
      </c>
      <c r="H547" s="199">
        <v>17.71</v>
      </c>
      <c r="I547" s="203" t="s">
        <v>1193</v>
      </c>
      <c r="J547" s="203">
        <f>G547*H547</f>
        <v>106.26</v>
      </c>
      <c r="K547" s="203"/>
      <c r="L547" s="203"/>
      <c r="M547" s="203"/>
      <c r="N547" s="203"/>
      <c r="O547" s="203"/>
      <c r="P547" s="203"/>
      <c r="Q547" s="203"/>
    </row>
    <row r="548" spans="1:17" s="25" customFormat="1" x14ac:dyDescent="0.25">
      <c r="A548" s="196" t="s">
        <v>22</v>
      </c>
      <c r="B548" s="197" t="s">
        <v>62</v>
      </c>
      <c r="C548" s="197">
        <v>36204</v>
      </c>
      <c r="D548" s="197"/>
      <c r="E548" s="243" t="s">
        <v>435</v>
      </c>
      <c r="F548" s="197" t="s">
        <v>1215</v>
      </c>
      <c r="G548" s="197">
        <v>1</v>
      </c>
      <c r="H548" s="199">
        <v>172.18</v>
      </c>
      <c r="I548" s="199" t="s">
        <v>1193</v>
      </c>
      <c r="J548" s="199">
        <f>H548*G548</f>
        <v>172.18</v>
      </c>
      <c r="K548" s="199"/>
      <c r="L548" s="199"/>
      <c r="M548" s="199"/>
      <c r="N548" s="199"/>
      <c r="O548" s="199"/>
      <c r="P548" s="199"/>
      <c r="Q548" s="199"/>
    </row>
    <row r="549" spans="1:17" s="25" customFormat="1" x14ac:dyDescent="0.25">
      <c r="A549" s="163"/>
      <c r="B549" s="101"/>
      <c r="C549" s="101"/>
      <c r="D549" s="101"/>
      <c r="E549" s="102"/>
      <c r="F549" s="101"/>
      <c r="G549" s="96"/>
      <c r="H549" s="96"/>
      <c r="I549" s="96" t="s">
        <v>1193</v>
      </c>
      <c r="J549" s="96"/>
      <c r="K549" s="96"/>
      <c r="L549" s="96"/>
      <c r="M549" s="96"/>
      <c r="N549" s="96"/>
      <c r="O549" s="96"/>
      <c r="P549" s="96"/>
      <c r="Q549" s="96"/>
    </row>
    <row r="550" spans="1:17" s="25" customFormat="1" ht="30" x14ac:dyDescent="0.25">
      <c r="A550" s="149" t="s">
        <v>22</v>
      </c>
      <c r="B550" s="148"/>
      <c r="C550" s="148">
        <v>86911</v>
      </c>
      <c r="D550" s="143" t="s">
        <v>436</v>
      </c>
      <c r="E550" s="144" t="s">
        <v>437</v>
      </c>
      <c r="F550" s="143" t="s">
        <v>1215</v>
      </c>
      <c r="G550" s="146"/>
      <c r="H550" s="146"/>
      <c r="I550" s="146">
        <v>1</v>
      </c>
      <c r="J550" s="146">
        <f>SUM(J551:J554)</f>
        <v>38.188800643599997</v>
      </c>
      <c r="K550" s="146">
        <f>SUM(K551:K554)</f>
        <v>2.5886277635999999</v>
      </c>
      <c r="L550" s="146">
        <f>J550+K550</f>
        <v>40.777428407199999</v>
      </c>
      <c r="M550" s="146">
        <f>J550*I550</f>
        <v>38.188800643599997</v>
      </c>
      <c r="N550" s="146">
        <f>K550*I550</f>
        <v>2.5886277635999999</v>
      </c>
      <c r="O550" s="146">
        <f>M550+N550</f>
        <v>40.777428407199999</v>
      </c>
      <c r="P550" s="146">
        <f>O550*$P$1</f>
        <v>10.463488129287519</v>
      </c>
      <c r="Q550" s="146">
        <f>P550+O550</f>
        <v>51.240916536487518</v>
      </c>
    </row>
    <row r="551" spans="1:17" s="25" customFormat="1" x14ac:dyDescent="0.25">
      <c r="A551" s="200" t="s">
        <v>22</v>
      </c>
      <c r="B551" s="201" t="s">
        <v>27</v>
      </c>
      <c r="C551" s="201">
        <v>88267</v>
      </c>
      <c r="D551" s="201"/>
      <c r="E551" s="244" t="s">
        <v>119</v>
      </c>
      <c r="F551" s="201" t="s">
        <v>29</v>
      </c>
      <c r="G551" s="201">
        <v>0.1164</v>
      </c>
      <c r="H551" s="203">
        <v>24.02</v>
      </c>
      <c r="I551" s="203" t="s">
        <v>1193</v>
      </c>
      <c r="J551" s="203">
        <f>0.2417*H551*G551</f>
        <v>0.67577579759999995</v>
      </c>
      <c r="K551" s="203">
        <f>0.7582*H551*G551</f>
        <v>2.1198726095999998</v>
      </c>
      <c r="L551" s="203"/>
      <c r="M551" s="203"/>
      <c r="N551" s="203"/>
      <c r="O551" s="203"/>
      <c r="P551" s="203"/>
      <c r="Q551" s="203"/>
    </row>
    <row r="552" spans="1:17" s="25" customFormat="1" x14ac:dyDescent="0.25">
      <c r="A552" s="196" t="s">
        <v>22</v>
      </c>
      <c r="B552" s="197" t="s">
        <v>27</v>
      </c>
      <c r="C552" s="197">
        <v>88316</v>
      </c>
      <c r="D552" s="197"/>
      <c r="E552" s="243" t="s">
        <v>30</v>
      </c>
      <c r="F552" s="197" t="s">
        <v>438</v>
      </c>
      <c r="G552" s="197">
        <v>3.6700000000000003E-2</v>
      </c>
      <c r="H552" s="203">
        <v>18.899999999999999</v>
      </c>
      <c r="I552" s="199" t="s">
        <v>1193</v>
      </c>
      <c r="J552" s="199">
        <f>0.3242*H552*G552</f>
        <v>0.22487484600000002</v>
      </c>
      <c r="K552" s="199">
        <f>0.6758*H552*G552</f>
        <v>0.46875515399999995</v>
      </c>
      <c r="L552" s="199"/>
      <c r="M552" s="199"/>
      <c r="N552" s="199"/>
      <c r="O552" s="199"/>
      <c r="P552" s="199"/>
      <c r="Q552" s="199"/>
    </row>
    <row r="553" spans="1:17" s="25" customFormat="1" x14ac:dyDescent="0.25">
      <c r="A553" s="200" t="s">
        <v>22</v>
      </c>
      <c r="B553" s="201" t="s">
        <v>62</v>
      </c>
      <c r="C553" s="201">
        <v>3146</v>
      </c>
      <c r="D553" s="201"/>
      <c r="E553" s="244" t="s">
        <v>439</v>
      </c>
      <c r="F553" s="201" t="s">
        <v>39</v>
      </c>
      <c r="G553" s="201">
        <v>2.1000000000000001E-2</v>
      </c>
      <c r="H553" s="199">
        <v>5.15</v>
      </c>
      <c r="I553" s="203" t="s">
        <v>1193</v>
      </c>
      <c r="J553" s="203">
        <f t="shared" ref="J553:J554" si="45">G553*H553</f>
        <v>0.10815000000000001</v>
      </c>
      <c r="K553" s="203"/>
      <c r="L553" s="203"/>
      <c r="M553" s="203"/>
      <c r="N553" s="203"/>
      <c r="O553" s="203"/>
      <c r="P553" s="203"/>
      <c r="Q553" s="203"/>
    </row>
    <row r="554" spans="1:17" s="25" customFormat="1" x14ac:dyDescent="0.25">
      <c r="A554" s="196" t="s">
        <v>22</v>
      </c>
      <c r="B554" s="197" t="s">
        <v>62</v>
      </c>
      <c r="C554" s="197">
        <v>13416</v>
      </c>
      <c r="D554" s="197"/>
      <c r="E554" s="243" t="s">
        <v>440</v>
      </c>
      <c r="F554" s="197" t="s">
        <v>1215</v>
      </c>
      <c r="G554" s="197">
        <v>1</v>
      </c>
      <c r="H554" s="199">
        <v>37.18</v>
      </c>
      <c r="I554" s="199" t="s">
        <v>1193</v>
      </c>
      <c r="J554" s="199">
        <f t="shared" si="45"/>
        <v>37.18</v>
      </c>
      <c r="K554" s="199"/>
      <c r="L554" s="199"/>
      <c r="M554" s="199"/>
      <c r="N554" s="199"/>
      <c r="O554" s="199"/>
      <c r="P554" s="199"/>
      <c r="Q554" s="199"/>
    </row>
    <row r="555" spans="1:17" s="25" customFormat="1" x14ac:dyDescent="0.25">
      <c r="A555" s="163"/>
      <c r="B555" s="101"/>
      <c r="C555" s="101"/>
      <c r="D555" s="101"/>
      <c r="E555" s="102"/>
      <c r="F555" s="101"/>
      <c r="G555" s="96"/>
      <c r="H555" s="96"/>
      <c r="I555" s="96" t="s">
        <v>1193</v>
      </c>
      <c r="J555" s="96"/>
      <c r="K555" s="96"/>
      <c r="L555" s="96"/>
      <c r="M555" s="96"/>
      <c r="N555" s="96"/>
      <c r="O555" s="96"/>
      <c r="P555" s="96"/>
      <c r="Q555" s="96"/>
    </row>
    <row r="556" spans="1:17" s="25" customFormat="1" x14ac:dyDescent="0.25">
      <c r="A556" s="149" t="s">
        <v>22</v>
      </c>
      <c r="B556" s="148"/>
      <c r="C556" s="148">
        <v>86915</v>
      </c>
      <c r="D556" s="143" t="s">
        <v>441</v>
      </c>
      <c r="E556" s="144" t="s">
        <v>442</v>
      </c>
      <c r="F556" s="143" t="s">
        <v>1215</v>
      </c>
      <c r="G556" s="146"/>
      <c r="H556" s="146"/>
      <c r="I556" s="146">
        <v>1</v>
      </c>
      <c r="J556" s="146">
        <f>SUM(J557:J560)</f>
        <v>78.091150477999989</v>
      </c>
      <c r="K556" s="146">
        <f>SUM(K557:K560)</f>
        <v>2.1353589299999998</v>
      </c>
      <c r="L556" s="146">
        <f>J556+K556</f>
        <v>80.226509407999984</v>
      </c>
      <c r="M556" s="146">
        <f>J556*I556</f>
        <v>78.091150477999989</v>
      </c>
      <c r="N556" s="146">
        <f>K556*I556</f>
        <v>2.1353589299999998</v>
      </c>
      <c r="O556" s="146">
        <f>M556+N556</f>
        <v>80.226509407999984</v>
      </c>
      <c r="P556" s="146">
        <f>O556*$P$1</f>
        <v>20.586122314092794</v>
      </c>
      <c r="Q556" s="146">
        <f>P556+O556</f>
        <v>100.81263172209277</v>
      </c>
    </row>
    <row r="557" spans="1:17" s="25" customFormat="1" x14ac:dyDescent="0.25">
      <c r="A557" s="200" t="s">
        <v>22</v>
      </c>
      <c r="B557" s="201" t="s">
        <v>27</v>
      </c>
      <c r="C557" s="201">
        <v>88267</v>
      </c>
      <c r="D557" s="201"/>
      <c r="E557" s="244" t="s">
        <v>119</v>
      </c>
      <c r="F557" s="201" t="s">
        <v>29</v>
      </c>
      <c r="G557" s="201">
        <v>9.6000000000000002E-2</v>
      </c>
      <c r="H557" s="203">
        <v>24.02</v>
      </c>
      <c r="I557" s="203" t="s">
        <v>1193</v>
      </c>
      <c r="J557" s="203">
        <f>0.2417*H557*G557</f>
        <v>0.55734086399999994</v>
      </c>
      <c r="K557" s="203">
        <f>0.7582*H557*G557</f>
        <v>1.7483485439999999</v>
      </c>
      <c r="L557" s="203"/>
      <c r="M557" s="203"/>
      <c r="N557" s="203"/>
      <c r="O557" s="203"/>
      <c r="P557" s="203"/>
      <c r="Q557" s="203"/>
    </row>
    <row r="558" spans="1:17" s="25" customFormat="1" x14ac:dyDescent="0.25">
      <c r="A558" s="196" t="s">
        <v>22</v>
      </c>
      <c r="B558" s="197" t="s">
        <v>27</v>
      </c>
      <c r="C558" s="197">
        <v>88316</v>
      </c>
      <c r="D558" s="197"/>
      <c r="E558" s="243" t="s">
        <v>30</v>
      </c>
      <c r="F558" s="197" t="s">
        <v>29</v>
      </c>
      <c r="G558" s="197">
        <v>3.0300000000000001E-2</v>
      </c>
      <c r="H558" s="203">
        <v>18.899999999999999</v>
      </c>
      <c r="I558" s="199" t="s">
        <v>1193</v>
      </c>
      <c r="J558" s="199">
        <f>0.3242*H558*G558</f>
        <v>0.185659614</v>
      </c>
      <c r="K558" s="199">
        <f>0.6758*H558*G558</f>
        <v>0.38701038599999993</v>
      </c>
      <c r="L558" s="199"/>
      <c r="M558" s="199"/>
      <c r="N558" s="199"/>
      <c r="O558" s="199"/>
      <c r="P558" s="199"/>
      <c r="Q558" s="199"/>
    </row>
    <row r="559" spans="1:17" s="25" customFormat="1" x14ac:dyDescent="0.25">
      <c r="A559" s="200" t="s">
        <v>22</v>
      </c>
      <c r="B559" s="201" t="s">
        <v>62</v>
      </c>
      <c r="C559" s="201">
        <v>3146</v>
      </c>
      <c r="D559" s="201"/>
      <c r="E559" s="244" t="s">
        <v>439</v>
      </c>
      <c r="F559" s="201" t="s">
        <v>39</v>
      </c>
      <c r="G559" s="201">
        <v>2.1000000000000001E-2</v>
      </c>
      <c r="H559" s="199">
        <v>5.15</v>
      </c>
      <c r="I559" s="203" t="s">
        <v>1193</v>
      </c>
      <c r="J559" s="203">
        <f t="shared" ref="J559:J560" si="46">G559*H559</f>
        <v>0.10815000000000001</v>
      </c>
      <c r="K559" s="203"/>
      <c r="L559" s="203"/>
      <c r="M559" s="203"/>
      <c r="N559" s="203"/>
      <c r="O559" s="203"/>
      <c r="P559" s="203"/>
      <c r="Q559" s="203"/>
    </row>
    <row r="560" spans="1:17" s="25" customFormat="1" x14ac:dyDescent="0.25">
      <c r="A560" s="196" t="s">
        <v>22</v>
      </c>
      <c r="B560" s="197" t="s">
        <v>62</v>
      </c>
      <c r="C560" s="197">
        <v>36791</v>
      </c>
      <c r="D560" s="197"/>
      <c r="E560" s="243" t="s">
        <v>442</v>
      </c>
      <c r="F560" s="197" t="s">
        <v>1215</v>
      </c>
      <c r="G560" s="197">
        <v>1</v>
      </c>
      <c r="H560" s="199">
        <v>77.239999999999995</v>
      </c>
      <c r="I560" s="199" t="s">
        <v>1193</v>
      </c>
      <c r="J560" s="199">
        <f t="shared" si="46"/>
        <v>77.239999999999995</v>
      </c>
      <c r="K560" s="199"/>
      <c r="L560" s="199"/>
      <c r="M560" s="199"/>
      <c r="N560" s="199"/>
      <c r="O560" s="199"/>
      <c r="P560" s="199"/>
      <c r="Q560" s="199"/>
    </row>
    <row r="561" spans="1:17" s="25" customFormat="1" x14ac:dyDescent="0.25">
      <c r="A561" s="163"/>
      <c r="B561" s="101"/>
      <c r="C561" s="101"/>
      <c r="D561" s="101"/>
      <c r="E561" s="102"/>
      <c r="F561" s="101"/>
      <c r="G561" s="96"/>
      <c r="H561" s="96"/>
      <c r="I561" s="96" t="s">
        <v>1193</v>
      </c>
      <c r="J561" s="96"/>
      <c r="K561" s="96"/>
      <c r="L561" s="96"/>
      <c r="M561" s="96"/>
      <c r="N561" s="96"/>
      <c r="O561" s="96"/>
      <c r="P561" s="96"/>
      <c r="Q561" s="96"/>
    </row>
    <row r="562" spans="1:17" s="25" customFormat="1" x14ac:dyDescent="0.25">
      <c r="A562" s="149" t="s">
        <v>22</v>
      </c>
      <c r="B562" s="148"/>
      <c r="C562" s="148">
        <v>89353</v>
      </c>
      <c r="D562" s="143" t="s">
        <v>443</v>
      </c>
      <c r="E562" s="144" t="s">
        <v>444</v>
      </c>
      <c r="F562" s="143" t="s">
        <v>1215</v>
      </c>
      <c r="G562" s="146"/>
      <c r="H562" s="146"/>
      <c r="I562" s="146">
        <v>1</v>
      </c>
      <c r="J562" s="146">
        <f>SUM(J563:J566)</f>
        <v>30.74171376</v>
      </c>
      <c r="K562" s="146">
        <f>SUM(K563:K566)</f>
        <v>6.2031957999999996</v>
      </c>
      <c r="L562" s="146">
        <f>J562+K562</f>
        <v>36.944909559999999</v>
      </c>
      <c r="M562" s="146">
        <f>J562*I562</f>
        <v>30.74171376</v>
      </c>
      <c r="N562" s="146">
        <f>K562*I562</f>
        <v>6.2031957999999996</v>
      </c>
      <c r="O562" s="146">
        <f>M562+N562</f>
        <v>36.944909559999999</v>
      </c>
      <c r="P562" s="146">
        <f>O562*$P$1</f>
        <v>9.480063793095999</v>
      </c>
      <c r="Q562" s="146">
        <f>P562+O562</f>
        <v>46.424973353096</v>
      </c>
    </row>
    <row r="563" spans="1:17" s="25" customFormat="1" x14ac:dyDescent="0.25">
      <c r="A563" s="200" t="s">
        <v>22</v>
      </c>
      <c r="B563" s="201" t="s">
        <v>27</v>
      </c>
      <c r="C563" s="201">
        <v>88248</v>
      </c>
      <c r="D563" s="201"/>
      <c r="E563" s="244" t="s">
        <v>118</v>
      </c>
      <c r="F563" s="201" t="s">
        <v>29</v>
      </c>
      <c r="G563" s="201">
        <v>0.2</v>
      </c>
      <c r="H563" s="203">
        <v>18.57</v>
      </c>
      <c r="I563" s="203" t="s">
        <v>1193</v>
      </c>
      <c r="J563" s="203">
        <f>0.31064*H563*G563</f>
        <v>1.1537169600000001</v>
      </c>
      <c r="K563" s="203">
        <f>0.6895*H563*G563</f>
        <v>2.5608029999999999</v>
      </c>
      <c r="L563" s="203"/>
      <c r="M563" s="203"/>
      <c r="N563" s="203"/>
      <c r="O563" s="203"/>
      <c r="P563" s="203"/>
      <c r="Q563" s="203"/>
    </row>
    <row r="564" spans="1:17" s="25" customFormat="1" x14ac:dyDescent="0.25">
      <c r="A564" s="196" t="s">
        <v>22</v>
      </c>
      <c r="B564" s="197" t="s">
        <v>27</v>
      </c>
      <c r="C564" s="197">
        <v>88267</v>
      </c>
      <c r="D564" s="197"/>
      <c r="E564" s="243" t="s">
        <v>119</v>
      </c>
      <c r="F564" s="197" t="s">
        <v>29</v>
      </c>
      <c r="G564" s="197">
        <v>0.2</v>
      </c>
      <c r="H564" s="199">
        <v>24.02</v>
      </c>
      <c r="I564" s="199" t="s">
        <v>1193</v>
      </c>
      <c r="J564" s="199">
        <f>0.2417*H564*G564</f>
        <v>1.1611267999999999</v>
      </c>
      <c r="K564" s="199">
        <f>0.7582*H564*G564</f>
        <v>3.6423927999999997</v>
      </c>
      <c r="L564" s="199"/>
      <c r="M564" s="199"/>
      <c r="N564" s="199"/>
      <c r="O564" s="199"/>
      <c r="P564" s="199"/>
      <c r="Q564" s="199"/>
    </row>
    <row r="565" spans="1:17" s="25" customFormat="1" x14ac:dyDescent="0.25">
      <c r="A565" s="200" t="s">
        <v>22</v>
      </c>
      <c r="B565" s="201" t="s">
        <v>62</v>
      </c>
      <c r="C565" s="201">
        <v>3148</v>
      </c>
      <c r="D565" s="201"/>
      <c r="E565" s="244" t="s">
        <v>439</v>
      </c>
      <c r="F565" s="201" t="s">
        <v>39</v>
      </c>
      <c r="G565" s="201">
        <v>1.2999999999999999E-2</v>
      </c>
      <c r="H565" s="199">
        <v>18.989999999999998</v>
      </c>
      <c r="I565" s="203" t="s">
        <v>1193</v>
      </c>
      <c r="J565" s="203">
        <f t="shared" ref="J565:J566" si="47">G565*H565</f>
        <v>0.24686999999999998</v>
      </c>
      <c r="K565" s="203"/>
      <c r="L565" s="203"/>
      <c r="M565" s="203"/>
      <c r="N565" s="203"/>
      <c r="O565" s="203"/>
      <c r="P565" s="203"/>
      <c r="Q565" s="203"/>
    </row>
    <row r="566" spans="1:17" s="25" customFormat="1" x14ac:dyDescent="0.25">
      <c r="A566" s="196" t="s">
        <v>22</v>
      </c>
      <c r="B566" s="197" t="s">
        <v>62</v>
      </c>
      <c r="C566" s="197">
        <v>6016</v>
      </c>
      <c r="D566" s="197"/>
      <c r="E566" s="243" t="s">
        <v>445</v>
      </c>
      <c r="F566" s="197" t="s">
        <v>1215</v>
      </c>
      <c r="G566" s="197">
        <v>1</v>
      </c>
      <c r="H566" s="199">
        <v>28.18</v>
      </c>
      <c r="I566" s="199" t="s">
        <v>1193</v>
      </c>
      <c r="J566" s="199">
        <f t="shared" si="47"/>
        <v>28.18</v>
      </c>
      <c r="K566" s="199"/>
      <c r="L566" s="199"/>
      <c r="M566" s="199"/>
      <c r="N566" s="199"/>
      <c r="O566" s="199"/>
      <c r="P566" s="199"/>
      <c r="Q566" s="199"/>
    </row>
    <row r="567" spans="1:17" s="25" customFormat="1" x14ac:dyDescent="0.25">
      <c r="A567" s="163"/>
      <c r="B567" s="101"/>
      <c r="C567" s="101"/>
      <c r="D567" s="101"/>
      <c r="E567" s="102"/>
      <c r="F567" s="101"/>
      <c r="G567" s="96"/>
      <c r="H567" s="96"/>
      <c r="I567" s="96" t="s">
        <v>1193</v>
      </c>
      <c r="J567" s="96"/>
      <c r="K567" s="96"/>
      <c r="L567" s="96"/>
      <c r="M567" s="96"/>
      <c r="N567" s="96"/>
      <c r="O567" s="96"/>
      <c r="P567" s="96"/>
      <c r="Q567" s="96"/>
    </row>
    <row r="568" spans="1:17" s="25" customFormat="1" x14ac:dyDescent="0.25">
      <c r="A568" s="149" t="s">
        <v>22</v>
      </c>
      <c r="B568" s="148"/>
      <c r="C568" s="148">
        <v>94794</v>
      </c>
      <c r="D568" s="143" t="s">
        <v>446</v>
      </c>
      <c r="E568" s="144" t="s">
        <v>447</v>
      </c>
      <c r="F568" s="143" t="s">
        <v>1215</v>
      </c>
      <c r="G568" s="146"/>
      <c r="H568" s="146"/>
      <c r="I568" s="146">
        <v>1</v>
      </c>
      <c r="J568" s="146">
        <f>SUM(J569:J572)</f>
        <v>37.672868633199997</v>
      </c>
      <c r="K568" s="146">
        <f>SUM(K569:K572)</f>
        <v>24.471607431000002</v>
      </c>
      <c r="L568" s="146">
        <f>J568+K568</f>
        <v>62.144476064199999</v>
      </c>
      <c r="M568" s="146">
        <f>J568*I568</f>
        <v>37.672868633199997</v>
      </c>
      <c r="N568" s="146">
        <f>K568*I568</f>
        <v>24.471607431000002</v>
      </c>
      <c r="O568" s="146">
        <f>M568+N568</f>
        <v>62.144476064199999</v>
      </c>
      <c r="P568" s="146">
        <f>O568*$P$1</f>
        <v>15.946272558073719</v>
      </c>
      <c r="Q568" s="146">
        <f>P568+O568</f>
        <v>78.090748622273722</v>
      </c>
    </row>
    <row r="569" spans="1:17" s="25" customFormat="1" x14ac:dyDescent="0.25">
      <c r="A569" s="200" t="s">
        <v>22</v>
      </c>
      <c r="B569" s="201" t="s">
        <v>27</v>
      </c>
      <c r="C569" s="201">
        <v>88248</v>
      </c>
      <c r="D569" s="201"/>
      <c r="E569" s="244" t="s">
        <v>118</v>
      </c>
      <c r="F569" s="201" t="s">
        <v>29</v>
      </c>
      <c r="G569" s="201">
        <v>0.78900000000000003</v>
      </c>
      <c r="H569" s="203">
        <v>18.57</v>
      </c>
      <c r="I569" s="203" t="s">
        <v>1193</v>
      </c>
      <c r="J569" s="203">
        <f>0.31064*H569*G569</f>
        <v>4.5514134072000001</v>
      </c>
      <c r="K569" s="203">
        <f>0.6895*H569*G569</f>
        <v>10.102367835000001</v>
      </c>
      <c r="L569" s="203"/>
      <c r="M569" s="203"/>
      <c r="N569" s="203"/>
      <c r="O569" s="203"/>
      <c r="P569" s="203"/>
      <c r="Q569" s="203"/>
    </row>
    <row r="570" spans="1:17" s="25" customFormat="1" x14ac:dyDescent="0.25">
      <c r="A570" s="196" t="s">
        <v>22</v>
      </c>
      <c r="B570" s="197" t="s">
        <v>27</v>
      </c>
      <c r="C570" s="197">
        <v>88267</v>
      </c>
      <c r="D570" s="197"/>
      <c r="E570" s="243" t="s">
        <v>119</v>
      </c>
      <c r="F570" s="197" t="s">
        <v>29</v>
      </c>
      <c r="G570" s="197">
        <v>0.78900000000000003</v>
      </c>
      <c r="H570" s="199">
        <v>24.02</v>
      </c>
      <c r="I570" s="199" t="s">
        <v>1193</v>
      </c>
      <c r="J570" s="199">
        <f>0.2417*H570*G570</f>
        <v>4.5806452259999997</v>
      </c>
      <c r="K570" s="199">
        <f>0.7582*H570*G570</f>
        <v>14.369239596</v>
      </c>
      <c r="L570" s="199"/>
      <c r="M570" s="199"/>
      <c r="N570" s="199"/>
      <c r="O570" s="199"/>
      <c r="P570" s="199"/>
      <c r="Q570" s="199"/>
    </row>
    <row r="571" spans="1:17" s="25" customFormat="1" x14ac:dyDescent="0.25">
      <c r="A571" s="200" t="s">
        <v>22</v>
      </c>
      <c r="B571" s="201" t="s">
        <v>62</v>
      </c>
      <c r="C571" s="201">
        <v>3148</v>
      </c>
      <c r="D571" s="201"/>
      <c r="E571" s="244" t="s">
        <v>439</v>
      </c>
      <c r="F571" s="201" t="s">
        <v>39</v>
      </c>
      <c r="G571" s="201">
        <v>1.9E-2</v>
      </c>
      <c r="H571" s="199">
        <v>18.989999999999998</v>
      </c>
      <c r="I571" s="203" t="s">
        <v>1193</v>
      </c>
      <c r="J571" s="203">
        <f t="shared" ref="J571:J572" si="48">G571*H571</f>
        <v>0.36080999999999996</v>
      </c>
      <c r="K571" s="203"/>
      <c r="L571" s="203"/>
      <c r="M571" s="203"/>
      <c r="N571" s="203"/>
      <c r="O571" s="203"/>
      <c r="P571" s="203"/>
      <c r="Q571" s="203"/>
    </row>
    <row r="572" spans="1:17" s="25" customFormat="1" x14ac:dyDescent="0.25">
      <c r="A572" s="196" t="s">
        <v>22</v>
      </c>
      <c r="B572" s="197" t="s">
        <v>62</v>
      </c>
      <c r="C572" s="197">
        <v>6016</v>
      </c>
      <c r="D572" s="197"/>
      <c r="E572" s="243" t="s">
        <v>445</v>
      </c>
      <c r="F572" s="197" t="s">
        <v>1215</v>
      </c>
      <c r="G572" s="197">
        <v>1</v>
      </c>
      <c r="H572" s="199">
        <v>28.18</v>
      </c>
      <c r="I572" s="199" t="s">
        <v>1193</v>
      </c>
      <c r="J572" s="199">
        <f t="shared" si="48"/>
        <v>28.18</v>
      </c>
      <c r="K572" s="199"/>
      <c r="L572" s="199"/>
      <c r="M572" s="199"/>
      <c r="N572" s="199"/>
      <c r="O572" s="199"/>
      <c r="P572" s="199"/>
      <c r="Q572" s="199"/>
    </row>
    <row r="573" spans="1:17" s="25" customFormat="1" x14ac:dyDescent="0.25">
      <c r="A573" s="163"/>
      <c r="B573" s="101"/>
      <c r="C573" s="101"/>
      <c r="D573" s="101"/>
      <c r="E573" s="102"/>
      <c r="F573" s="101"/>
      <c r="G573" s="96"/>
      <c r="H573" s="96"/>
      <c r="I573" s="96" t="s">
        <v>1193</v>
      </c>
      <c r="J573" s="96"/>
      <c r="K573" s="96"/>
      <c r="L573" s="96"/>
      <c r="M573" s="96"/>
      <c r="N573" s="96"/>
      <c r="O573" s="96"/>
      <c r="P573" s="96"/>
      <c r="Q573" s="96"/>
    </row>
    <row r="574" spans="1:17" s="25" customFormat="1" x14ac:dyDescent="0.25">
      <c r="A574" s="149" t="s">
        <v>22</v>
      </c>
      <c r="B574" s="148"/>
      <c r="C574" s="148">
        <v>89985</v>
      </c>
      <c r="D574" s="143" t="s">
        <v>448</v>
      </c>
      <c r="E574" s="144" t="s">
        <v>449</v>
      </c>
      <c r="F574" s="143" t="s">
        <v>1215</v>
      </c>
      <c r="G574" s="146"/>
      <c r="H574" s="146"/>
      <c r="I574" s="146">
        <v>1</v>
      </c>
      <c r="J574" s="146">
        <f>SUM(J575:J578)</f>
        <v>68.155334703999998</v>
      </c>
      <c r="K574" s="146">
        <f>SUM(K575:K578)</f>
        <v>8.4085126499999987</v>
      </c>
      <c r="L574" s="146">
        <f>J574+K574</f>
        <v>76.563847353999989</v>
      </c>
      <c r="M574" s="146">
        <f>J574*I574</f>
        <v>68.155334703999998</v>
      </c>
      <c r="N574" s="146">
        <f>K574*I574</f>
        <v>8.4085126499999987</v>
      </c>
      <c r="O574" s="146">
        <f>M574+N574</f>
        <v>76.563847353999989</v>
      </c>
      <c r="P574" s="146">
        <f>O574*$P$1</f>
        <v>19.646283231036396</v>
      </c>
      <c r="Q574" s="146">
        <f>P574+O574</f>
        <v>96.210130585036381</v>
      </c>
    </row>
    <row r="575" spans="1:17" s="25" customFormat="1" x14ac:dyDescent="0.25">
      <c r="A575" s="200" t="s">
        <v>22</v>
      </c>
      <c r="B575" s="201" t="s">
        <v>27</v>
      </c>
      <c r="C575" s="201">
        <v>88248</v>
      </c>
      <c r="D575" s="201"/>
      <c r="E575" s="244" t="s">
        <v>118</v>
      </c>
      <c r="F575" s="201" t="s">
        <v>29</v>
      </c>
      <c r="G575" s="203">
        <v>0.23</v>
      </c>
      <c r="H575" s="203">
        <v>18.57</v>
      </c>
      <c r="I575" s="203" t="s">
        <v>1193</v>
      </c>
      <c r="J575" s="203">
        <f>0.31064*H575*G575</f>
        <v>1.3267745040000001</v>
      </c>
      <c r="K575" s="203">
        <f>0.6895*H575*G575</f>
        <v>2.9449234500000001</v>
      </c>
      <c r="L575" s="203"/>
      <c r="M575" s="203"/>
      <c r="N575" s="203"/>
      <c r="O575" s="203"/>
      <c r="P575" s="203"/>
      <c r="Q575" s="203"/>
    </row>
    <row r="576" spans="1:17" s="25" customFormat="1" x14ac:dyDescent="0.25">
      <c r="A576" s="196" t="s">
        <v>22</v>
      </c>
      <c r="B576" s="197" t="s">
        <v>27</v>
      </c>
      <c r="C576" s="197">
        <v>88267</v>
      </c>
      <c r="D576" s="197"/>
      <c r="E576" s="243" t="s">
        <v>119</v>
      </c>
      <c r="F576" s="197" t="s">
        <v>29</v>
      </c>
      <c r="G576" s="199">
        <v>0.3</v>
      </c>
      <c r="H576" s="199">
        <v>24.02</v>
      </c>
      <c r="I576" s="199" t="s">
        <v>1193</v>
      </c>
      <c r="J576" s="199">
        <f>0.2417*H576*G576</f>
        <v>1.7416901999999999</v>
      </c>
      <c r="K576" s="199">
        <f>0.7582*H576*G576</f>
        <v>5.4635891999999995</v>
      </c>
      <c r="L576" s="199"/>
      <c r="M576" s="199"/>
      <c r="N576" s="199"/>
      <c r="O576" s="199"/>
      <c r="P576" s="199"/>
      <c r="Q576" s="199"/>
    </row>
    <row r="577" spans="1:17" s="25" customFormat="1" x14ac:dyDescent="0.25">
      <c r="A577" s="200" t="s">
        <v>22</v>
      </c>
      <c r="B577" s="201" t="s">
        <v>62</v>
      </c>
      <c r="C577" s="201">
        <v>3148</v>
      </c>
      <c r="D577" s="201"/>
      <c r="E577" s="244" t="s">
        <v>439</v>
      </c>
      <c r="F577" s="201" t="s">
        <v>1215</v>
      </c>
      <c r="G577" s="201">
        <v>1.2999999999999999E-2</v>
      </c>
      <c r="H577" s="199">
        <v>18.989999999999998</v>
      </c>
      <c r="I577" s="203" t="s">
        <v>1193</v>
      </c>
      <c r="J577" s="203">
        <f t="shared" ref="J577:J578" si="49">G577*H577</f>
        <v>0.24686999999999998</v>
      </c>
      <c r="K577" s="203"/>
      <c r="L577" s="203"/>
      <c r="M577" s="203"/>
      <c r="N577" s="203"/>
      <c r="O577" s="203"/>
      <c r="P577" s="203"/>
      <c r="Q577" s="203"/>
    </row>
    <row r="578" spans="1:17" s="25" customFormat="1" x14ac:dyDescent="0.25">
      <c r="A578" s="196" t="s">
        <v>22</v>
      </c>
      <c r="B578" s="197" t="s">
        <v>62</v>
      </c>
      <c r="C578" s="197">
        <v>6024</v>
      </c>
      <c r="D578" s="197"/>
      <c r="E578" s="243" t="s">
        <v>450</v>
      </c>
      <c r="F578" s="197" t="s">
        <v>1215</v>
      </c>
      <c r="G578" s="197">
        <v>1</v>
      </c>
      <c r="H578" s="199">
        <v>64.84</v>
      </c>
      <c r="I578" s="199" t="s">
        <v>1193</v>
      </c>
      <c r="J578" s="199">
        <f t="shared" si="49"/>
        <v>64.84</v>
      </c>
      <c r="K578" s="199"/>
      <c r="L578" s="199"/>
      <c r="M578" s="199"/>
      <c r="N578" s="199"/>
      <c r="O578" s="199"/>
      <c r="P578" s="199"/>
      <c r="Q578" s="199"/>
    </row>
    <row r="579" spans="1:17" s="25" customFormat="1" x14ac:dyDescent="0.25">
      <c r="A579" s="163"/>
      <c r="B579" s="101"/>
      <c r="C579" s="101"/>
      <c r="D579" s="101"/>
      <c r="E579" s="102"/>
      <c r="F579" s="101"/>
      <c r="G579" s="96"/>
      <c r="H579" s="96"/>
      <c r="I579" s="96" t="s">
        <v>1193</v>
      </c>
      <c r="J579" s="96"/>
      <c r="K579" s="96"/>
      <c r="L579" s="96"/>
      <c r="M579" s="96"/>
      <c r="N579" s="96"/>
      <c r="O579" s="96"/>
      <c r="P579" s="96"/>
      <c r="Q579" s="96"/>
    </row>
    <row r="580" spans="1:17" s="25" customFormat="1" ht="30" x14ac:dyDescent="0.25">
      <c r="A580" s="149" t="s">
        <v>22</v>
      </c>
      <c r="B580" s="148"/>
      <c r="C580" s="148">
        <v>99635</v>
      </c>
      <c r="D580" s="143" t="s">
        <v>451</v>
      </c>
      <c r="E580" s="144" t="s">
        <v>452</v>
      </c>
      <c r="F580" s="143" t="s">
        <v>1215</v>
      </c>
      <c r="G580" s="146"/>
      <c r="H580" s="146"/>
      <c r="I580" s="146">
        <v>1</v>
      </c>
      <c r="J580" s="146">
        <f>SUM(J581:J584)</f>
        <v>262.7128686332</v>
      </c>
      <c r="K580" s="146">
        <f>SUM(K581:K584)</f>
        <v>24.471607431000002</v>
      </c>
      <c r="L580" s="146">
        <f>J580+K580</f>
        <v>287.1844760642</v>
      </c>
      <c r="M580" s="146">
        <f>J580*I580</f>
        <v>262.7128686332</v>
      </c>
      <c r="N580" s="146">
        <f>K580*I580</f>
        <v>24.471607431000002</v>
      </c>
      <c r="O580" s="146">
        <f>M580+N580</f>
        <v>287.1844760642</v>
      </c>
      <c r="P580" s="146">
        <f>O580*$P$1</f>
        <v>73.691536558073722</v>
      </c>
      <c r="Q580" s="146">
        <f>P580+O580</f>
        <v>360.87601262227372</v>
      </c>
    </row>
    <row r="581" spans="1:17" s="25" customFormat="1" x14ac:dyDescent="0.25">
      <c r="A581" s="200" t="s">
        <v>22</v>
      </c>
      <c r="B581" s="201" t="s">
        <v>27</v>
      </c>
      <c r="C581" s="201">
        <v>88248</v>
      </c>
      <c r="D581" s="201"/>
      <c r="E581" s="244" t="s">
        <v>118</v>
      </c>
      <c r="F581" s="201" t="s">
        <v>29</v>
      </c>
      <c r="G581" s="203">
        <v>0.78900000000000003</v>
      </c>
      <c r="H581" s="203">
        <v>18.57</v>
      </c>
      <c r="I581" s="203" t="s">
        <v>1193</v>
      </c>
      <c r="J581" s="203">
        <f>0.31064*H581*G581</f>
        <v>4.5514134072000001</v>
      </c>
      <c r="K581" s="203">
        <f>0.6895*H581*G581</f>
        <v>10.102367835000001</v>
      </c>
      <c r="L581" s="203"/>
      <c r="M581" s="203"/>
      <c r="N581" s="203"/>
      <c r="O581" s="203"/>
      <c r="P581" s="203"/>
      <c r="Q581" s="203"/>
    </row>
    <row r="582" spans="1:17" s="25" customFormat="1" x14ac:dyDescent="0.25">
      <c r="A582" s="196" t="s">
        <v>22</v>
      </c>
      <c r="B582" s="197" t="s">
        <v>27</v>
      </c>
      <c r="C582" s="197">
        <v>88267</v>
      </c>
      <c r="D582" s="197"/>
      <c r="E582" s="243" t="s">
        <v>119</v>
      </c>
      <c r="F582" s="197" t="s">
        <v>29</v>
      </c>
      <c r="G582" s="199">
        <v>0.78900000000000003</v>
      </c>
      <c r="H582" s="199">
        <v>24.02</v>
      </c>
      <c r="I582" s="199" t="s">
        <v>1193</v>
      </c>
      <c r="J582" s="199">
        <f>0.2417*H582*G582</f>
        <v>4.5806452259999997</v>
      </c>
      <c r="K582" s="199">
        <f>0.7582*H582*G582</f>
        <v>14.369239596</v>
      </c>
      <c r="L582" s="199"/>
      <c r="M582" s="199"/>
      <c r="N582" s="199"/>
      <c r="O582" s="199"/>
      <c r="P582" s="199"/>
      <c r="Q582" s="199"/>
    </row>
    <row r="583" spans="1:17" s="25" customFormat="1" x14ac:dyDescent="0.25">
      <c r="A583" s="200" t="s">
        <v>22</v>
      </c>
      <c r="B583" s="201" t="s">
        <v>62</v>
      </c>
      <c r="C583" s="201">
        <v>3148</v>
      </c>
      <c r="D583" s="201"/>
      <c r="E583" s="244" t="s">
        <v>439</v>
      </c>
      <c r="F583" s="201" t="s">
        <v>1215</v>
      </c>
      <c r="G583" s="201">
        <v>1.9E-2</v>
      </c>
      <c r="H583" s="199">
        <v>18.989999999999998</v>
      </c>
      <c r="I583" s="203" t="s">
        <v>1193</v>
      </c>
      <c r="J583" s="203">
        <f>G583*H583</f>
        <v>0.36080999999999996</v>
      </c>
      <c r="K583" s="203"/>
      <c r="L583" s="203"/>
      <c r="M583" s="203"/>
      <c r="N583" s="203"/>
      <c r="O583" s="203"/>
      <c r="P583" s="203"/>
      <c r="Q583" s="203"/>
    </row>
    <row r="584" spans="1:17" s="25" customFormat="1" ht="45" x14ac:dyDescent="0.25">
      <c r="A584" s="196" t="s">
        <v>22</v>
      </c>
      <c r="B584" s="197" t="s">
        <v>62</v>
      </c>
      <c r="C584" s="197">
        <v>10228</v>
      </c>
      <c r="D584" s="197"/>
      <c r="E584" s="243" t="s">
        <v>453</v>
      </c>
      <c r="F584" s="197" t="s">
        <v>1215</v>
      </c>
      <c r="G584" s="199">
        <v>1</v>
      </c>
      <c r="H584" s="199">
        <v>253.22</v>
      </c>
      <c r="I584" s="199" t="s">
        <v>1193</v>
      </c>
      <c r="J584" s="199">
        <f>H584*G584</f>
        <v>253.22</v>
      </c>
      <c r="K584" s="199"/>
      <c r="L584" s="199"/>
      <c r="M584" s="199"/>
      <c r="N584" s="199"/>
      <c r="O584" s="199"/>
      <c r="P584" s="199"/>
      <c r="Q584" s="199"/>
    </row>
    <row r="585" spans="1:17" s="25" customFormat="1" x14ac:dyDescent="0.25">
      <c r="A585" s="163"/>
      <c r="B585" s="101"/>
      <c r="C585" s="101"/>
      <c r="D585" s="101"/>
      <c r="E585" s="102"/>
      <c r="F585" s="101"/>
      <c r="G585" s="96"/>
      <c r="H585" s="96"/>
      <c r="I585" s="96" t="s">
        <v>1193</v>
      </c>
      <c r="J585" s="96"/>
      <c r="K585" s="96"/>
      <c r="L585" s="96"/>
      <c r="M585" s="96"/>
      <c r="N585" s="96"/>
      <c r="O585" s="96"/>
      <c r="P585" s="96"/>
      <c r="Q585" s="96"/>
    </row>
    <row r="586" spans="1:17" s="25" customFormat="1" x14ac:dyDescent="0.25">
      <c r="A586" s="149" t="s">
        <v>22</v>
      </c>
      <c r="B586" s="148"/>
      <c r="C586" s="148">
        <v>94492</v>
      </c>
      <c r="D586" s="143" t="s">
        <v>454</v>
      </c>
      <c r="E586" s="144" t="s">
        <v>455</v>
      </c>
      <c r="F586" s="143" t="s">
        <v>1215</v>
      </c>
      <c r="G586" s="146"/>
      <c r="H586" s="146"/>
      <c r="I586" s="146">
        <v>1</v>
      </c>
      <c r="J586" s="146">
        <f>SUM(J587:J592)</f>
        <v>65.938007667600004</v>
      </c>
      <c r="K586" s="146">
        <f>SUM(K587:K592)</f>
        <v>7.0406272329999995</v>
      </c>
      <c r="L586" s="146">
        <f>J586+K586</f>
        <v>72.978634900599999</v>
      </c>
      <c r="M586" s="146">
        <f>J586*I586</f>
        <v>65.938007667600004</v>
      </c>
      <c r="N586" s="146">
        <f>K586*I586</f>
        <v>7.0406272329999995</v>
      </c>
      <c r="O586" s="146">
        <f>M586+N586</f>
        <v>72.978634900599999</v>
      </c>
      <c r="P586" s="146">
        <f>O586*$P$1</f>
        <v>18.726317715493959</v>
      </c>
      <c r="Q586" s="146">
        <f>P586+O586</f>
        <v>91.704952616093962</v>
      </c>
    </row>
    <row r="587" spans="1:17" s="25" customFormat="1" x14ac:dyDescent="0.25">
      <c r="A587" s="200" t="s">
        <v>22</v>
      </c>
      <c r="B587" s="201" t="s">
        <v>27</v>
      </c>
      <c r="C587" s="201">
        <v>88248</v>
      </c>
      <c r="D587" s="201"/>
      <c r="E587" s="244" t="s">
        <v>118</v>
      </c>
      <c r="F587" s="201" t="s">
        <v>29</v>
      </c>
      <c r="G587" s="203">
        <v>0.22700000000000001</v>
      </c>
      <c r="H587" s="203">
        <v>18.57</v>
      </c>
      <c r="I587" s="203" t="s">
        <v>1193</v>
      </c>
      <c r="J587" s="203">
        <f>0.31064*H587*G587</f>
        <v>1.3094687496000001</v>
      </c>
      <c r="K587" s="203">
        <f>0.6895*H587*G587</f>
        <v>2.9065114049999998</v>
      </c>
      <c r="L587" s="203"/>
      <c r="M587" s="203"/>
      <c r="N587" s="203"/>
      <c r="O587" s="203"/>
      <c r="P587" s="203"/>
      <c r="Q587" s="203"/>
    </row>
    <row r="588" spans="1:17" s="25" customFormat="1" x14ac:dyDescent="0.25">
      <c r="A588" s="196" t="s">
        <v>22</v>
      </c>
      <c r="B588" s="197" t="s">
        <v>27</v>
      </c>
      <c r="C588" s="197">
        <v>88267</v>
      </c>
      <c r="D588" s="197"/>
      <c r="E588" s="243" t="s">
        <v>119</v>
      </c>
      <c r="F588" s="197" t="s">
        <v>29</v>
      </c>
      <c r="G588" s="199">
        <v>0.22700000000000001</v>
      </c>
      <c r="H588" s="199">
        <v>24.02</v>
      </c>
      <c r="I588" s="199" t="s">
        <v>1193</v>
      </c>
      <c r="J588" s="199">
        <f>0.2417*H588*G588</f>
        <v>1.3178789179999999</v>
      </c>
      <c r="K588" s="199">
        <f>0.7582*H588*G588</f>
        <v>4.1341158279999997</v>
      </c>
      <c r="L588" s="199"/>
      <c r="M588" s="199"/>
      <c r="N588" s="199"/>
      <c r="O588" s="199"/>
      <c r="P588" s="199"/>
      <c r="Q588" s="199"/>
    </row>
    <row r="589" spans="1:17" s="25" customFormat="1" x14ac:dyDescent="0.25">
      <c r="A589" s="200" t="s">
        <v>22</v>
      </c>
      <c r="B589" s="201" t="s">
        <v>62</v>
      </c>
      <c r="C589" s="201">
        <v>11677</v>
      </c>
      <c r="D589" s="201"/>
      <c r="E589" s="244" t="s">
        <v>456</v>
      </c>
      <c r="F589" s="201" t="s">
        <v>1215</v>
      </c>
      <c r="G589" s="201">
        <v>1</v>
      </c>
      <c r="H589" s="199">
        <v>59.15</v>
      </c>
      <c r="I589" s="203" t="s">
        <v>1193</v>
      </c>
      <c r="J589" s="203">
        <f t="shared" ref="J589:J592" si="50">G589*H589</f>
        <v>59.15</v>
      </c>
      <c r="K589" s="203"/>
      <c r="L589" s="203"/>
      <c r="M589" s="203"/>
      <c r="N589" s="203"/>
      <c r="O589" s="203"/>
      <c r="P589" s="203"/>
      <c r="Q589" s="203"/>
    </row>
    <row r="590" spans="1:17" s="25" customFormat="1" x14ac:dyDescent="0.25">
      <c r="A590" s="196" t="s">
        <v>22</v>
      </c>
      <c r="B590" s="197" t="s">
        <v>62</v>
      </c>
      <c r="C590" s="197">
        <v>20080</v>
      </c>
      <c r="D590" s="197"/>
      <c r="E590" s="243" t="s">
        <v>457</v>
      </c>
      <c r="F590" s="197" t="s">
        <v>1215</v>
      </c>
      <c r="G590" s="197">
        <v>0.107</v>
      </c>
      <c r="H590" s="199">
        <v>22.65</v>
      </c>
      <c r="I590" s="199" t="s">
        <v>1193</v>
      </c>
      <c r="J590" s="199">
        <f t="shared" si="50"/>
        <v>2.4235499999999996</v>
      </c>
      <c r="K590" s="199"/>
      <c r="L590" s="199"/>
      <c r="M590" s="199"/>
      <c r="N590" s="199"/>
      <c r="O590" s="199"/>
      <c r="P590" s="199"/>
      <c r="Q590" s="199"/>
    </row>
    <row r="591" spans="1:17" s="25" customFormat="1" x14ac:dyDescent="0.25">
      <c r="A591" s="200" t="s">
        <v>22</v>
      </c>
      <c r="B591" s="201" t="s">
        <v>62</v>
      </c>
      <c r="C591" s="201">
        <v>20083</v>
      </c>
      <c r="D591" s="201"/>
      <c r="E591" s="244" t="s">
        <v>458</v>
      </c>
      <c r="F591" s="201" t="s">
        <v>1215</v>
      </c>
      <c r="G591" s="201">
        <v>2.7E-2</v>
      </c>
      <c r="H591" s="199">
        <v>61.97</v>
      </c>
      <c r="I591" s="203" t="s">
        <v>1193</v>
      </c>
      <c r="J591" s="203">
        <f t="shared" si="50"/>
        <v>1.67319</v>
      </c>
      <c r="K591" s="203"/>
      <c r="L591" s="203"/>
      <c r="M591" s="203"/>
      <c r="N591" s="203"/>
      <c r="O591" s="203"/>
      <c r="P591" s="203"/>
      <c r="Q591" s="203"/>
    </row>
    <row r="592" spans="1:17" s="25" customFormat="1" x14ac:dyDescent="0.25">
      <c r="A592" s="196" t="s">
        <v>22</v>
      </c>
      <c r="B592" s="197" t="s">
        <v>62</v>
      </c>
      <c r="C592" s="197">
        <v>38383</v>
      </c>
      <c r="D592" s="197"/>
      <c r="E592" s="243" t="s">
        <v>459</v>
      </c>
      <c r="F592" s="197" t="s">
        <v>1215</v>
      </c>
      <c r="G592" s="197">
        <v>3.4000000000000002E-2</v>
      </c>
      <c r="H592" s="199">
        <v>1.88</v>
      </c>
      <c r="I592" s="199" t="s">
        <v>1193</v>
      </c>
      <c r="J592" s="199">
        <f t="shared" si="50"/>
        <v>6.3920000000000005E-2</v>
      </c>
      <c r="K592" s="199"/>
      <c r="L592" s="199"/>
      <c r="M592" s="199"/>
      <c r="N592" s="199"/>
      <c r="O592" s="199"/>
      <c r="P592" s="199"/>
      <c r="Q592" s="199"/>
    </row>
    <row r="593" spans="1:17" s="25" customFormat="1" x14ac:dyDescent="0.25">
      <c r="A593" s="163"/>
      <c r="B593" s="101"/>
      <c r="C593" s="101"/>
      <c r="D593" s="101"/>
      <c r="E593" s="102"/>
      <c r="F593" s="101"/>
      <c r="G593" s="96"/>
      <c r="H593" s="96"/>
      <c r="I593" s="96" t="s">
        <v>1193</v>
      </c>
      <c r="J593" s="96"/>
      <c r="K593" s="96"/>
      <c r="L593" s="96"/>
      <c r="M593" s="96"/>
      <c r="N593" s="96"/>
      <c r="O593" s="96"/>
      <c r="P593" s="96"/>
      <c r="Q593" s="96"/>
    </row>
    <row r="594" spans="1:17" s="25" customFormat="1" ht="30" x14ac:dyDescent="0.25">
      <c r="A594" s="149" t="s">
        <v>183</v>
      </c>
      <c r="B594" s="148"/>
      <c r="C594" s="148"/>
      <c r="D594" s="143" t="s">
        <v>460</v>
      </c>
      <c r="E594" s="144" t="s">
        <v>461</v>
      </c>
      <c r="F594" s="143" t="s">
        <v>1215</v>
      </c>
      <c r="G594" s="146"/>
      <c r="H594" s="146"/>
      <c r="I594" s="146">
        <v>1</v>
      </c>
      <c r="J594" s="146">
        <f>SUM(J595:J597)</f>
        <v>310.04734766760004</v>
      </c>
      <c r="K594" s="146">
        <f>SUM(K595:K597)</f>
        <v>7.0406272329999995</v>
      </c>
      <c r="L594" s="146">
        <f>J594+K594</f>
        <v>317.08797490060005</v>
      </c>
      <c r="M594" s="146">
        <f>J594*I594</f>
        <v>310.04734766760004</v>
      </c>
      <c r="N594" s="146">
        <f>K594*I594</f>
        <v>7.0406272329999995</v>
      </c>
      <c r="O594" s="146">
        <f>M594+N594</f>
        <v>317.08797490060005</v>
      </c>
      <c r="P594" s="146">
        <f>O594*$P$1</f>
        <v>81.364774359493964</v>
      </c>
      <c r="Q594" s="146">
        <f>P594+O594</f>
        <v>398.45274926009404</v>
      </c>
    </row>
    <row r="595" spans="1:17" s="25" customFormat="1" x14ac:dyDescent="0.25">
      <c r="A595" s="200" t="s">
        <v>22</v>
      </c>
      <c r="B595" s="201" t="s">
        <v>27</v>
      </c>
      <c r="C595" s="201">
        <v>88248</v>
      </c>
      <c r="D595" s="201"/>
      <c r="E595" s="244" t="s">
        <v>118</v>
      </c>
      <c r="F595" s="201" t="s">
        <v>29</v>
      </c>
      <c r="G595" s="203">
        <v>0.22700000000000001</v>
      </c>
      <c r="H595" s="203">
        <v>18.57</v>
      </c>
      <c r="I595" s="203" t="s">
        <v>1193</v>
      </c>
      <c r="J595" s="203">
        <f>0.31064*H595*G595</f>
        <v>1.3094687496000001</v>
      </c>
      <c r="K595" s="203">
        <f>0.6895*H595*G595</f>
        <v>2.9065114049999998</v>
      </c>
      <c r="L595" s="203"/>
      <c r="M595" s="203"/>
      <c r="N595" s="203"/>
      <c r="O595" s="203"/>
      <c r="P595" s="203"/>
      <c r="Q595" s="203"/>
    </row>
    <row r="596" spans="1:17" s="25" customFormat="1" x14ac:dyDescent="0.25">
      <c r="A596" s="196" t="s">
        <v>22</v>
      </c>
      <c r="B596" s="197" t="s">
        <v>27</v>
      </c>
      <c r="C596" s="197">
        <v>88267</v>
      </c>
      <c r="D596" s="197"/>
      <c r="E596" s="243" t="s">
        <v>119</v>
      </c>
      <c r="F596" s="197" t="s">
        <v>29</v>
      </c>
      <c r="G596" s="199">
        <v>0.22700000000000001</v>
      </c>
      <c r="H596" s="199">
        <v>24.02</v>
      </c>
      <c r="I596" s="199" t="s">
        <v>1193</v>
      </c>
      <c r="J596" s="199">
        <f>0.2417*H596*G596</f>
        <v>1.3178789179999999</v>
      </c>
      <c r="K596" s="199">
        <f>0.7582*H596*G596</f>
        <v>4.1341158279999997</v>
      </c>
      <c r="L596" s="199"/>
      <c r="M596" s="199"/>
      <c r="N596" s="199"/>
      <c r="O596" s="199"/>
      <c r="P596" s="199"/>
      <c r="Q596" s="199"/>
    </row>
    <row r="597" spans="1:17" s="25" customFormat="1" ht="45" x14ac:dyDescent="0.25">
      <c r="A597" s="252" t="s">
        <v>877</v>
      </c>
      <c r="B597" s="191"/>
      <c r="C597" s="191"/>
      <c r="D597" s="191"/>
      <c r="E597" s="195" t="s">
        <v>462</v>
      </c>
      <c r="F597" s="191" t="s">
        <v>39</v>
      </c>
      <c r="G597" s="193">
        <v>1</v>
      </c>
      <c r="H597" s="341">
        <f>'MAPA COTAÇÕES CIVIL'!$I$3</f>
        <v>307.42</v>
      </c>
      <c r="I597" s="193" t="s">
        <v>1193</v>
      </c>
      <c r="J597" s="193">
        <f>G597*H597</f>
        <v>307.42</v>
      </c>
      <c r="K597" s="193"/>
      <c r="L597" s="193"/>
      <c r="M597" s="193"/>
      <c r="N597" s="193"/>
      <c r="O597" s="193"/>
      <c r="P597" s="193"/>
      <c r="Q597" s="193"/>
    </row>
    <row r="598" spans="1:17" s="25" customFormat="1" x14ac:dyDescent="0.25">
      <c r="A598" s="159"/>
      <c r="B598" s="160"/>
      <c r="C598" s="160"/>
      <c r="D598" s="160"/>
      <c r="E598" s="161"/>
      <c r="F598" s="160"/>
      <c r="G598" s="162"/>
      <c r="H598" s="162"/>
      <c r="I598" s="162" t="s">
        <v>1193</v>
      </c>
      <c r="J598" s="162"/>
      <c r="K598" s="162"/>
      <c r="L598" s="162"/>
      <c r="M598" s="162"/>
      <c r="N598" s="162"/>
      <c r="O598" s="162"/>
      <c r="P598" s="162"/>
      <c r="Q598" s="162"/>
    </row>
    <row r="599" spans="1:17" s="25" customFormat="1" x14ac:dyDescent="0.25">
      <c r="A599" s="149" t="s">
        <v>22</v>
      </c>
      <c r="B599" s="148"/>
      <c r="C599" s="148">
        <v>91785</v>
      </c>
      <c r="D599" s="143" t="s">
        <v>463</v>
      </c>
      <c r="E599" s="144" t="s">
        <v>464</v>
      </c>
      <c r="F599" s="143" t="s">
        <v>39</v>
      </c>
      <c r="G599" s="146"/>
      <c r="H599" s="146"/>
      <c r="I599" s="146">
        <v>0.67</v>
      </c>
      <c r="J599" s="146">
        <f>SUM(J600:J624)</f>
        <v>18.933326449999999</v>
      </c>
      <c r="K599" s="146">
        <f>SUM(K600:K624)</f>
        <v>21.081007449999994</v>
      </c>
      <c r="L599" s="146">
        <f>J599+K599</f>
        <v>40.014333899999997</v>
      </c>
      <c r="M599" s="146">
        <f>J599*I599</f>
        <v>12.685328721499999</v>
      </c>
      <c r="N599" s="146">
        <f>K599*I599</f>
        <v>14.124274991499997</v>
      </c>
      <c r="O599" s="146">
        <f>M599+N599</f>
        <v>26.809603712999994</v>
      </c>
      <c r="P599" s="146">
        <f>O599*$P$1</f>
        <v>6.8793443127557987</v>
      </c>
      <c r="Q599" s="146">
        <f>P599+O599</f>
        <v>33.688948025755792</v>
      </c>
    </row>
    <row r="600" spans="1:17" s="25" customFormat="1" ht="30" x14ac:dyDescent="0.25">
      <c r="A600" s="196" t="s">
        <v>22</v>
      </c>
      <c r="B600" s="197" t="s">
        <v>27</v>
      </c>
      <c r="C600" s="197">
        <v>89356</v>
      </c>
      <c r="D600" s="197"/>
      <c r="E600" s="243" t="s">
        <v>465</v>
      </c>
      <c r="F600" s="197" t="s">
        <v>39</v>
      </c>
      <c r="G600" s="209">
        <v>0.79</v>
      </c>
      <c r="H600" s="199">
        <v>20.350000000000001</v>
      </c>
      <c r="I600" s="199" t="s">
        <v>1193</v>
      </c>
      <c r="J600" s="199">
        <f t="shared" ref="J600:J601" si="51">H600*G600*0.45</f>
        <v>7.2344250000000017</v>
      </c>
      <c r="K600" s="199">
        <f t="shared" ref="K600:K601" si="52">G600*H600*0.55</f>
        <v>8.842075000000003</v>
      </c>
      <c r="L600" s="199"/>
      <c r="M600" s="199"/>
      <c r="N600" s="199"/>
      <c r="O600" s="199"/>
      <c r="P600" s="199"/>
      <c r="Q600" s="199"/>
    </row>
    <row r="601" spans="1:17" s="25" customFormat="1" ht="30" x14ac:dyDescent="0.25">
      <c r="A601" s="200" t="s">
        <v>22</v>
      </c>
      <c r="B601" s="201" t="s">
        <v>27</v>
      </c>
      <c r="C601" s="201">
        <v>89362</v>
      </c>
      <c r="D601" s="201"/>
      <c r="E601" s="244" t="s">
        <v>466</v>
      </c>
      <c r="F601" s="201" t="s">
        <v>1215</v>
      </c>
      <c r="G601" s="231">
        <v>0.65300000000000002</v>
      </c>
      <c r="H601" s="203">
        <v>8.27</v>
      </c>
      <c r="I601" s="203" t="s">
        <v>1193</v>
      </c>
      <c r="J601" s="203">
        <f t="shared" si="51"/>
        <v>2.4301395000000001</v>
      </c>
      <c r="K601" s="203">
        <f t="shared" si="52"/>
        <v>2.9701705000000005</v>
      </c>
      <c r="L601" s="203"/>
      <c r="M601" s="203"/>
      <c r="N601" s="203"/>
      <c r="O601" s="203"/>
      <c r="P601" s="203"/>
      <c r="Q601" s="203"/>
    </row>
    <row r="602" spans="1:17" s="25" customFormat="1" ht="30" x14ac:dyDescent="0.25">
      <c r="A602" s="196" t="s">
        <v>22</v>
      </c>
      <c r="B602" s="197" t="s">
        <v>27</v>
      </c>
      <c r="C602" s="197">
        <v>89366</v>
      </c>
      <c r="D602" s="197"/>
      <c r="E602" s="243" t="s">
        <v>467</v>
      </c>
      <c r="F602" s="197" t="s">
        <v>1215</v>
      </c>
      <c r="G602" s="209">
        <v>0.16900000000000001</v>
      </c>
      <c r="H602" s="199">
        <v>15.57</v>
      </c>
      <c r="I602" s="199" t="s">
        <v>1193</v>
      </c>
      <c r="J602" s="199">
        <f t="shared" ref="J602:J624" si="53">H602*G602*0.5</f>
        <v>1.3156650000000001</v>
      </c>
      <c r="K602" s="199">
        <f t="shared" ref="K602:K624" si="54">G602*H602*0.5</f>
        <v>1.3156650000000001</v>
      </c>
      <c r="L602" s="199"/>
      <c r="M602" s="199"/>
      <c r="N602" s="199"/>
      <c r="O602" s="199"/>
      <c r="P602" s="199"/>
      <c r="Q602" s="199"/>
    </row>
    <row r="603" spans="1:17" s="25" customFormat="1" ht="30" x14ac:dyDescent="0.25">
      <c r="A603" s="200" t="s">
        <v>22</v>
      </c>
      <c r="B603" s="201" t="s">
        <v>27</v>
      </c>
      <c r="C603" s="201">
        <v>89378</v>
      </c>
      <c r="D603" s="201"/>
      <c r="E603" s="244" t="s">
        <v>468</v>
      </c>
      <c r="F603" s="201" t="s">
        <v>1215</v>
      </c>
      <c r="G603" s="231">
        <v>7.6999999999999999E-2</v>
      </c>
      <c r="H603" s="203">
        <v>5.85</v>
      </c>
      <c r="I603" s="203" t="s">
        <v>1193</v>
      </c>
      <c r="J603" s="203">
        <f t="shared" si="53"/>
        <v>0.22522499999999998</v>
      </c>
      <c r="K603" s="203">
        <f t="shared" si="54"/>
        <v>0.22522499999999998</v>
      </c>
      <c r="L603" s="203"/>
      <c r="M603" s="203"/>
      <c r="N603" s="203"/>
      <c r="O603" s="203"/>
      <c r="P603" s="203"/>
      <c r="Q603" s="203"/>
    </row>
    <row r="604" spans="1:17" s="25" customFormat="1" ht="30" x14ac:dyDescent="0.25">
      <c r="A604" s="196" t="s">
        <v>22</v>
      </c>
      <c r="B604" s="197" t="s">
        <v>27</v>
      </c>
      <c r="C604" s="197">
        <v>89383</v>
      </c>
      <c r="D604" s="197"/>
      <c r="E604" s="243" t="s">
        <v>469</v>
      </c>
      <c r="F604" s="197" t="s">
        <v>1215</v>
      </c>
      <c r="G604" s="209">
        <v>0.65200000000000002</v>
      </c>
      <c r="H604" s="199">
        <v>6.3</v>
      </c>
      <c r="I604" s="199" t="s">
        <v>1193</v>
      </c>
      <c r="J604" s="199">
        <f t="shared" si="53"/>
        <v>2.0537999999999998</v>
      </c>
      <c r="K604" s="199">
        <f t="shared" si="54"/>
        <v>2.0537999999999998</v>
      </c>
      <c r="L604" s="199"/>
      <c r="M604" s="199"/>
      <c r="N604" s="199"/>
      <c r="O604" s="199"/>
      <c r="P604" s="199"/>
      <c r="Q604" s="199"/>
    </row>
    <row r="605" spans="1:17" s="25" customFormat="1" ht="30" x14ac:dyDescent="0.25">
      <c r="A605" s="200" t="s">
        <v>22</v>
      </c>
      <c r="B605" s="201" t="s">
        <v>27</v>
      </c>
      <c r="C605" s="201">
        <v>89395</v>
      </c>
      <c r="D605" s="201"/>
      <c r="E605" s="244" t="s">
        <v>470</v>
      </c>
      <c r="F605" s="201" t="s">
        <v>1215</v>
      </c>
      <c r="G605" s="231">
        <v>0.30299999999999999</v>
      </c>
      <c r="H605" s="203">
        <v>10.88</v>
      </c>
      <c r="I605" s="203" t="s">
        <v>1193</v>
      </c>
      <c r="J605" s="203">
        <f t="shared" si="53"/>
        <v>1.64832</v>
      </c>
      <c r="K605" s="203">
        <f t="shared" si="54"/>
        <v>1.64832</v>
      </c>
      <c r="L605" s="203"/>
      <c r="M605" s="203"/>
      <c r="N605" s="203"/>
      <c r="O605" s="203"/>
      <c r="P605" s="203"/>
      <c r="Q605" s="203"/>
    </row>
    <row r="606" spans="1:17" s="25" customFormat="1" ht="30" x14ac:dyDescent="0.25">
      <c r="A606" s="196" t="s">
        <v>22</v>
      </c>
      <c r="B606" s="197" t="s">
        <v>27</v>
      </c>
      <c r="C606" s="197">
        <v>89396</v>
      </c>
      <c r="D606" s="197"/>
      <c r="E606" s="243" t="s">
        <v>471</v>
      </c>
      <c r="F606" s="197" t="s">
        <v>1215</v>
      </c>
      <c r="G606" s="209">
        <v>1.6E-2</v>
      </c>
      <c r="H606" s="199">
        <v>19.47</v>
      </c>
      <c r="I606" s="199" t="s">
        <v>1193</v>
      </c>
      <c r="J606" s="199">
        <f t="shared" si="53"/>
        <v>0.15575999999999998</v>
      </c>
      <c r="K606" s="199">
        <f t="shared" si="54"/>
        <v>0.15575999999999998</v>
      </c>
      <c r="L606" s="199"/>
      <c r="M606" s="199"/>
      <c r="N606" s="199"/>
      <c r="O606" s="199"/>
      <c r="P606" s="199"/>
      <c r="Q606" s="199"/>
    </row>
    <row r="607" spans="1:17" s="25" customFormat="1" ht="30" x14ac:dyDescent="0.25">
      <c r="A607" s="200" t="s">
        <v>22</v>
      </c>
      <c r="B607" s="201" t="s">
        <v>27</v>
      </c>
      <c r="C607" s="201">
        <v>89400</v>
      </c>
      <c r="D607" s="201"/>
      <c r="E607" s="244" t="s">
        <v>472</v>
      </c>
      <c r="F607" s="201" t="s">
        <v>1215</v>
      </c>
      <c r="G607" s="231">
        <v>1.15E-2</v>
      </c>
      <c r="H607" s="203">
        <v>18.48</v>
      </c>
      <c r="I607" s="203" t="s">
        <v>1193</v>
      </c>
      <c r="J607" s="203">
        <f t="shared" si="53"/>
        <v>0.10626000000000001</v>
      </c>
      <c r="K607" s="203">
        <f t="shared" si="54"/>
        <v>0.10626000000000001</v>
      </c>
      <c r="L607" s="203"/>
      <c r="M607" s="203"/>
      <c r="N607" s="203"/>
      <c r="O607" s="203"/>
      <c r="P607" s="203"/>
      <c r="Q607" s="203"/>
    </row>
    <row r="608" spans="1:17" s="25" customFormat="1" ht="30" x14ac:dyDescent="0.25">
      <c r="A608" s="196" t="s">
        <v>22</v>
      </c>
      <c r="B608" s="197" t="s">
        <v>27</v>
      </c>
      <c r="C608" s="197">
        <v>89402</v>
      </c>
      <c r="D608" s="197"/>
      <c r="E608" s="243" t="s">
        <v>473</v>
      </c>
      <c r="F608" s="197" t="s">
        <v>39</v>
      </c>
      <c r="G608" s="209">
        <v>7.8E-2</v>
      </c>
      <c r="H608" s="199">
        <v>8.9499999999999993</v>
      </c>
      <c r="I608" s="199" t="s">
        <v>1193</v>
      </c>
      <c r="J608" s="199">
        <f t="shared" si="53"/>
        <v>0.34904999999999997</v>
      </c>
      <c r="K608" s="199">
        <f t="shared" si="54"/>
        <v>0.34904999999999997</v>
      </c>
      <c r="L608" s="199"/>
      <c r="M608" s="199"/>
      <c r="N608" s="199"/>
      <c r="O608" s="199"/>
      <c r="P608" s="199"/>
      <c r="Q608" s="199"/>
    </row>
    <row r="609" spans="1:17" s="25" customFormat="1" ht="30" x14ac:dyDescent="0.25">
      <c r="A609" s="200" t="s">
        <v>22</v>
      </c>
      <c r="B609" s="201" t="s">
        <v>27</v>
      </c>
      <c r="C609" s="201">
        <v>89408</v>
      </c>
      <c r="D609" s="201"/>
      <c r="E609" s="244" t="s">
        <v>474</v>
      </c>
      <c r="F609" s="201" t="s">
        <v>1215</v>
      </c>
      <c r="G609" s="231">
        <v>7.6E-3</v>
      </c>
      <c r="H609" s="203">
        <v>5.37</v>
      </c>
      <c r="I609" s="203" t="s">
        <v>1193</v>
      </c>
      <c r="J609" s="203">
        <f t="shared" si="53"/>
        <v>2.0406000000000001E-2</v>
      </c>
      <c r="K609" s="203">
        <f t="shared" si="54"/>
        <v>2.0406000000000001E-2</v>
      </c>
      <c r="L609" s="203"/>
      <c r="M609" s="203"/>
      <c r="N609" s="203"/>
      <c r="O609" s="203"/>
      <c r="P609" s="203"/>
      <c r="Q609" s="203"/>
    </row>
    <row r="610" spans="1:17" s="25" customFormat="1" ht="30" x14ac:dyDescent="0.25">
      <c r="A610" s="196" t="s">
        <v>22</v>
      </c>
      <c r="B610" s="197" t="s">
        <v>27</v>
      </c>
      <c r="C610" s="197">
        <v>89424</v>
      </c>
      <c r="D610" s="197"/>
      <c r="E610" s="243" t="s">
        <v>475</v>
      </c>
      <c r="F610" s="197" t="s">
        <v>1215</v>
      </c>
      <c r="G610" s="209">
        <v>1.35E-2</v>
      </c>
      <c r="H610" s="199">
        <v>4.26</v>
      </c>
      <c r="I610" s="199" t="s">
        <v>1193</v>
      </c>
      <c r="J610" s="199">
        <f t="shared" si="53"/>
        <v>2.8754999999999999E-2</v>
      </c>
      <c r="K610" s="199">
        <f t="shared" si="54"/>
        <v>2.8754999999999999E-2</v>
      </c>
      <c r="L610" s="199"/>
      <c r="M610" s="199"/>
      <c r="N610" s="199"/>
      <c r="O610" s="199"/>
      <c r="P610" s="199"/>
      <c r="Q610" s="199"/>
    </row>
    <row r="611" spans="1:17" s="25" customFormat="1" ht="30" x14ac:dyDescent="0.25">
      <c r="A611" s="200" t="s">
        <v>22</v>
      </c>
      <c r="B611" s="201" t="s">
        <v>27</v>
      </c>
      <c r="C611" s="201">
        <v>89440</v>
      </c>
      <c r="D611" s="201"/>
      <c r="E611" s="244" t="s">
        <v>476</v>
      </c>
      <c r="F611" s="201" t="s">
        <v>1215</v>
      </c>
      <c r="G611" s="231">
        <v>1.6999999999999999E-3</v>
      </c>
      <c r="H611" s="203">
        <v>7.71</v>
      </c>
      <c r="I611" s="203" t="s">
        <v>1193</v>
      </c>
      <c r="J611" s="203">
        <f t="shared" si="53"/>
        <v>6.5534999999999994E-3</v>
      </c>
      <c r="K611" s="203">
        <f t="shared" si="54"/>
        <v>6.5534999999999994E-3</v>
      </c>
      <c r="L611" s="203"/>
      <c r="M611" s="203"/>
      <c r="N611" s="203"/>
      <c r="O611" s="203"/>
      <c r="P611" s="203"/>
      <c r="Q611" s="203"/>
    </row>
    <row r="612" spans="1:17" s="25" customFormat="1" ht="30" x14ac:dyDescent="0.25">
      <c r="A612" s="196" t="s">
        <v>22</v>
      </c>
      <c r="B612" s="197" t="s">
        <v>27</v>
      </c>
      <c r="C612" s="197">
        <v>89445</v>
      </c>
      <c r="D612" s="197"/>
      <c r="E612" s="243" t="s">
        <v>477</v>
      </c>
      <c r="F612" s="197" t="s">
        <v>1215</v>
      </c>
      <c r="G612" s="209">
        <v>3.3999999999999998E-3</v>
      </c>
      <c r="H612" s="199">
        <v>14.69</v>
      </c>
      <c r="I612" s="199" t="s">
        <v>1193</v>
      </c>
      <c r="J612" s="199">
        <f t="shared" si="53"/>
        <v>2.4972999999999999E-2</v>
      </c>
      <c r="K612" s="199">
        <f t="shared" si="54"/>
        <v>2.4972999999999999E-2</v>
      </c>
      <c r="L612" s="199"/>
      <c r="M612" s="199"/>
      <c r="N612" s="199"/>
      <c r="O612" s="199"/>
      <c r="P612" s="199"/>
      <c r="Q612" s="199"/>
    </row>
    <row r="613" spans="1:17" s="25" customFormat="1" ht="30" x14ac:dyDescent="0.25">
      <c r="A613" s="200" t="s">
        <v>22</v>
      </c>
      <c r="B613" s="201" t="s">
        <v>27</v>
      </c>
      <c r="C613" s="201">
        <v>89446</v>
      </c>
      <c r="D613" s="201"/>
      <c r="E613" s="244" t="s">
        <v>478</v>
      </c>
      <c r="F613" s="201" t="s">
        <v>39</v>
      </c>
      <c r="G613" s="231">
        <v>0.128</v>
      </c>
      <c r="H613" s="203">
        <v>5.09</v>
      </c>
      <c r="I613" s="203" t="s">
        <v>1193</v>
      </c>
      <c r="J613" s="203">
        <f t="shared" si="53"/>
        <v>0.32575999999999999</v>
      </c>
      <c r="K613" s="203">
        <f t="shared" si="54"/>
        <v>0.32575999999999999</v>
      </c>
      <c r="L613" s="203"/>
      <c r="M613" s="203"/>
      <c r="N613" s="203"/>
      <c r="O613" s="203"/>
      <c r="P613" s="203"/>
      <c r="Q613" s="203"/>
    </row>
    <row r="614" spans="1:17" s="25" customFormat="1" ht="30" x14ac:dyDescent="0.25">
      <c r="A614" s="196" t="s">
        <v>22</v>
      </c>
      <c r="B614" s="197" t="s">
        <v>27</v>
      </c>
      <c r="C614" s="197">
        <v>89481</v>
      </c>
      <c r="D614" s="197"/>
      <c r="E614" s="243" t="s">
        <v>479</v>
      </c>
      <c r="F614" s="197" t="s">
        <v>1215</v>
      </c>
      <c r="G614" s="209">
        <v>6.7000000000000004E-2</v>
      </c>
      <c r="H614" s="199">
        <v>4.18</v>
      </c>
      <c r="I614" s="199" t="s">
        <v>1193</v>
      </c>
      <c r="J614" s="199">
        <f t="shared" si="53"/>
        <v>0.14002999999999999</v>
      </c>
      <c r="K614" s="199">
        <f t="shared" si="54"/>
        <v>0.14002999999999999</v>
      </c>
      <c r="L614" s="199"/>
      <c r="M614" s="199"/>
      <c r="N614" s="199"/>
      <c r="O614" s="199"/>
      <c r="P614" s="199"/>
      <c r="Q614" s="199"/>
    </row>
    <row r="615" spans="1:17" s="25" customFormat="1" ht="30" x14ac:dyDescent="0.25">
      <c r="A615" s="200" t="s">
        <v>22</v>
      </c>
      <c r="B615" s="201" t="s">
        <v>27</v>
      </c>
      <c r="C615" s="201">
        <v>89528</v>
      </c>
      <c r="D615" s="201"/>
      <c r="E615" s="244" t="s">
        <v>480</v>
      </c>
      <c r="F615" s="201" t="s">
        <v>1215</v>
      </c>
      <c r="G615" s="231">
        <v>1.35E-2</v>
      </c>
      <c r="H615" s="203">
        <v>3.45</v>
      </c>
      <c r="I615" s="203" t="s">
        <v>1193</v>
      </c>
      <c r="J615" s="203">
        <f t="shared" si="53"/>
        <v>2.3287500000000003E-2</v>
      </c>
      <c r="K615" s="203">
        <f t="shared" si="54"/>
        <v>2.3287500000000003E-2</v>
      </c>
      <c r="L615" s="203"/>
      <c r="M615" s="203"/>
      <c r="N615" s="203"/>
      <c r="O615" s="203"/>
      <c r="P615" s="203"/>
      <c r="Q615" s="203"/>
    </row>
    <row r="616" spans="1:17" s="25" customFormat="1" ht="30" x14ac:dyDescent="0.25">
      <c r="A616" s="196" t="s">
        <v>22</v>
      </c>
      <c r="B616" s="197" t="s">
        <v>27</v>
      </c>
      <c r="C616" s="197">
        <v>89532</v>
      </c>
      <c r="D616" s="197"/>
      <c r="E616" s="243" t="s">
        <v>481</v>
      </c>
      <c r="F616" s="197" t="s">
        <v>1215</v>
      </c>
      <c r="G616" s="209">
        <v>4.6100000000000002E-2</v>
      </c>
      <c r="H616" s="199">
        <v>6.74</v>
      </c>
      <c r="I616" s="199" t="s">
        <v>1193</v>
      </c>
      <c r="J616" s="199">
        <f t="shared" si="53"/>
        <v>0.15535700000000002</v>
      </c>
      <c r="K616" s="199">
        <f t="shared" si="54"/>
        <v>0.15535700000000002</v>
      </c>
      <c r="L616" s="199"/>
      <c r="M616" s="199"/>
      <c r="N616" s="199"/>
      <c r="O616" s="199"/>
      <c r="P616" s="199"/>
      <c r="Q616" s="199"/>
    </row>
    <row r="617" spans="1:17" s="25" customFormat="1" ht="30" x14ac:dyDescent="0.25">
      <c r="A617" s="200" t="s">
        <v>22</v>
      </c>
      <c r="B617" s="201" t="s">
        <v>27</v>
      </c>
      <c r="C617" s="201">
        <v>89622</v>
      </c>
      <c r="D617" s="201"/>
      <c r="E617" s="244" t="s">
        <v>482</v>
      </c>
      <c r="F617" s="201" t="s">
        <v>1215</v>
      </c>
      <c r="G617" s="231">
        <v>3.85E-2</v>
      </c>
      <c r="H617" s="203">
        <v>12.88</v>
      </c>
      <c r="I617" s="203" t="s">
        <v>1193</v>
      </c>
      <c r="J617" s="203">
        <f t="shared" si="53"/>
        <v>0.24794000000000002</v>
      </c>
      <c r="K617" s="203">
        <f t="shared" si="54"/>
        <v>0.24794000000000002</v>
      </c>
      <c r="L617" s="203"/>
      <c r="M617" s="203"/>
      <c r="N617" s="203"/>
      <c r="O617" s="203"/>
      <c r="P617" s="203"/>
      <c r="Q617" s="203"/>
    </row>
    <row r="618" spans="1:17" s="25" customFormat="1" ht="30" x14ac:dyDescent="0.25">
      <c r="A618" s="196" t="s">
        <v>22</v>
      </c>
      <c r="B618" s="197" t="s">
        <v>27</v>
      </c>
      <c r="C618" s="197">
        <v>89627</v>
      </c>
      <c r="D618" s="197"/>
      <c r="E618" s="243" t="s">
        <v>483</v>
      </c>
      <c r="F618" s="197" t="s">
        <v>1215</v>
      </c>
      <c r="G618" s="209">
        <v>3.0999999999999999E-3</v>
      </c>
      <c r="H618" s="199">
        <v>19.75</v>
      </c>
      <c r="I618" s="199" t="s">
        <v>1193</v>
      </c>
      <c r="J618" s="199">
        <f t="shared" si="53"/>
        <v>3.0612499999999997E-2</v>
      </c>
      <c r="K618" s="199">
        <f t="shared" si="54"/>
        <v>3.0612499999999997E-2</v>
      </c>
      <c r="L618" s="199"/>
      <c r="M618" s="199"/>
      <c r="N618" s="199"/>
      <c r="O618" s="199"/>
      <c r="P618" s="199"/>
      <c r="Q618" s="199"/>
    </row>
    <row r="619" spans="1:17" s="25" customFormat="1" x14ac:dyDescent="0.25">
      <c r="A619" s="200" t="s">
        <v>22</v>
      </c>
      <c r="B619" s="201" t="s">
        <v>27</v>
      </c>
      <c r="C619" s="201">
        <v>90436</v>
      </c>
      <c r="D619" s="201"/>
      <c r="E619" s="244" t="s">
        <v>484</v>
      </c>
      <c r="F619" s="201" t="s">
        <v>1215</v>
      </c>
      <c r="G619" s="231">
        <v>8.3000000000000001E-3</v>
      </c>
      <c r="H619" s="203">
        <v>12.23</v>
      </c>
      <c r="I619" s="203" t="s">
        <v>1193</v>
      </c>
      <c r="J619" s="203">
        <f t="shared" si="53"/>
        <v>5.0754500000000001E-2</v>
      </c>
      <c r="K619" s="203">
        <f t="shared" si="54"/>
        <v>5.0754500000000001E-2</v>
      </c>
      <c r="L619" s="203"/>
      <c r="M619" s="203"/>
      <c r="N619" s="203"/>
      <c r="O619" s="203"/>
      <c r="P619" s="203"/>
      <c r="Q619" s="203"/>
    </row>
    <row r="620" spans="1:17" s="25" customFormat="1" ht="30" x14ac:dyDescent="0.25">
      <c r="A620" s="196" t="s">
        <v>22</v>
      </c>
      <c r="B620" s="197" t="s">
        <v>27</v>
      </c>
      <c r="C620" s="197">
        <v>90443</v>
      </c>
      <c r="D620" s="197"/>
      <c r="E620" s="243" t="s">
        <v>485</v>
      </c>
      <c r="F620" s="197" t="s">
        <v>39</v>
      </c>
      <c r="G620" s="209">
        <v>0.20055000000000001</v>
      </c>
      <c r="H620" s="199">
        <v>11.11</v>
      </c>
      <c r="I620" s="199" t="s">
        <v>1193</v>
      </c>
      <c r="J620" s="199">
        <f t="shared" si="53"/>
        <v>1.1140552500000001</v>
      </c>
      <c r="K620" s="199">
        <f t="shared" si="54"/>
        <v>1.1140552500000001</v>
      </c>
      <c r="L620" s="199"/>
      <c r="M620" s="199"/>
      <c r="N620" s="199"/>
      <c r="O620" s="199"/>
      <c r="P620" s="199"/>
      <c r="Q620" s="199"/>
    </row>
    <row r="621" spans="1:17" s="25" customFormat="1" x14ac:dyDescent="0.25">
      <c r="A621" s="200" t="s">
        <v>22</v>
      </c>
      <c r="B621" s="201" t="s">
        <v>27</v>
      </c>
      <c r="C621" s="201">
        <v>90453</v>
      </c>
      <c r="D621" s="201"/>
      <c r="E621" s="244" t="s">
        <v>486</v>
      </c>
      <c r="F621" s="201" t="s">
        <v>1215</v>
      </c>
      <c r="G621" s="231">
        <v>6.6E-3</v>
      </c>
      <c r="H621" s="203">
        <v>2.4889999999999999</v>
      </c>
      <c r="I621" s="203" t="s">
        <v>1193</v>
      </c>
      <c r="J621" s="203">
        <f t="shared" si="53"/>
        <v>8.2136999999999991E-3</v>
      </c>
      <c r="K621" s="203">
        <f t="shared" si="54"/>
        <v>8.2136999999999991E-3</v>
      </c>
      <c r="L621" s="203"/>
      <c r="M621" s="203"/>
      <c r="N621" s="203"/>
      <c r="O621" s="203"/>
      <c r="P621" s="203"/>
      <c r="Q621" s="203"/>
    </row>
    <row r="622" spans="1:17" s="25" customFormat="1" ht="30" x14ac:dyDescent="0.25">
      <c r="A622" s="196" t="s">
        <v>22</v>
      </c>
      <c r="B622" s="197" t="s">
        <v>27</v>
      </c>
      <c r="C622" s="197">
        <v>90466</v>
      </c>
      <c r="D622" s="197"/>
      <c r="E622" s="243" t="s">
        <v>487</v>
      </c>
      <c r="F622" s="197" t="s">
        <v>39</v>
      </c>
      <c r="G622" s="209">
        <v>0.2006</v>
      </c>
      <c r="H622" s="199">
        <v>11.89</v>
      </c>
      <c r="I622" s="199" t="s">
        <v>1193</v>
      </c>
      <c r="J622" s="199">
        <f t="shared" si="53"/>
        <v>1.1925670000000002</v>
      </c>
      <c r="K622" s="199">
        <f t="shared" si="54"/>
        <v>1.1925670000000002</v>
      </c>
      <c r="L622" s="199"/>
      <c r="M622" s="199"/>
      <c r="N622" s="199"/>
      <c r="O622" s="199"/>
      <c r="P622" s="199"/>
      <c r="Q622" s="199"/>
    </row>
    <row r="623" spans="1:17" s="25" customFormat="1" ht="30" x14ac:dyDescent="0.25">
      <c r="A623" s="200" t="s">
        <v>22</v>
      </c>
      <c r="B623" s="201" t="s">
        <v>27</v>
      </c>
      <c r="C623" s="201">
        <v>91185</v>
      </c>
      <c r="D623" s="201"/>
      <c r="E623" s="244" t="s">
        <v>488</v>
      </c>
      <c r="F623" s="201" t="s">
        <v>39</v>
      </c>
      <c r="G623" s="231">
        <v>9.1999999999999998E-3</v>
      </c>
      <c r="H623" s="203">
        <v>6.03</v>
      </c>
      <c r="I623" s="203" t="s">
        <v>1193</v>
      </c>
      <c r="J623" s="203">
        <f t="shared" si="53"/>
        <v>2.7738000000000002E-2</v>
      </c>
      <c r="K623" s="203">
        <f t="shared" si="54"/>
        <v>2.7738000000000002E-2</v>
      </c>
      <c r="L623" s="203"/>
      <c r="M623" s="203"/>
      <c r="N623" s="203"/>
      <c r="O623" s="203"/>
      <c r="P623" s="203"/>
      <c r="Q623" s="203"/>
    </row>
    <row r="624" spans="1:17" s="25" customFormat="1" ht="30" x14ac:dyDescent="0.25">
      <c r="A624" s="196" t="s">
        <v>22</v>
      </c>
      <c r="B624" s="197" t="s">
        <v>27</v>
      </c>
      <c r="C624" s="197">
        <v>91190</v>
      </c>
      <c r="D624" s="197"/>
      <c r="E624" s="243" t="s">
        <v>489</v>
      </c>
      <c r="F624" s="197" t="s">
        <v>1215</v>
      </c>
      <c r="G624" s="209">
        <v>8.3000000000000001E-3</v>
      </c>
      <c r="H624" s="199">
        <v>4.26</v>
      </c>
      <c r="I624" s="199" t="s">
        <v>1193</v>
      </c>
      <c r="J624" s="199">
        <f t="shared" si="53"/>
        <v>1.7679E-2</v>
      </c>
      <c r="K624" s="199">
        <f t="shared" si="54"/>
        <v>1.7679E-2</v>
      </c>
      <c r="L624" s="199"/>
      <c r="M624" s="199"/>
      <c r="N624" s="199"/>
      <c r="O624" s="199"/>
      <c r="P624" s="199"/>
      <c r="Q624" s="199"/>
    </row>
    <row r="625" spans="1:17" s="25" customFormat="1" x14ac:dyDescent="0.25">
      <c r="A625" s="163"/>
      <c r="B625" s="101"/>
      <c r="C625" s="101"/>
      <c r="D625" s="101"/>
      <c r="E625" s="102"/>
      <c r="F625" s="101"/>
      <c r="G625" s="96"/>
      <c r="H625" s="96"/>
      <c r="I625" s="96" t="s">
        <v>1193</v>
      </c>
      <c r="J625" s="96"/>
      <c r="K625" s="96"/>
      <c r="L625" s="96"/>
      <c r="M625" s="96"/>
      <c r="N625" s="96"/>
      <c r="O625" s="96"/>
      <c r="P625" s="96"/>
      <c r="Q625" s="96"/>
    </row>
    <row r="626" spans="1:17" s="25" customFormat="1" x14ac:dyDescent="0.25">
      <c r="A626" s="149" t="s">
        <v>22</v>
      </c>
      <c r="B626" s="148"/>
      <c r="C626" s="148">
        <v>91788</v>
      </c>
      <c r="D626" s="143" t="s">
        <v>490</v>
      </c>
      <c r="E626" s="144" t="s">
        <v>491</v>
      </c>
      <c r="F626" s="143" t="s">
        <v>39</v>
      </c>
      <c r="G626" s="146"/>
      <c r="H626" s="146"/>
      <c r="I626" s="146">
        <v>0.67</v>
      </c>
      <c r="J626" s="146">
        <f>SUM(J627:J637)</f>
        <v>35.464997340000004</v>
      </c>
      <c r="K626" s="146">
        <f>SUM(K627:K637)</f>
        <v>5.7733716600000013</v>
      </c>
      <c r="L626" s="146">
        <f>J626+K626</f>
        <v>41.238369000000006</v>
      </c>
      <c r="M626" s="146">
        <f>J626*I626</f>
        <v>23.761548217800005</v>
      </c>
      <c r="N626" s="146">
        <f>K626*I626</f>
        <v>3.8681590122000009</v>
      </c>
      <c r="O626" s="146">
        <f>M626+N626</f>
        <v>27.629707230000005</v>
      </c>
      <c r="P626" s="146">
        <f>O626*$P$1</f>
        <v>7.0897828752180008</v>
      </c>
      <c r="Q626" s="146">
        <f>P626+O626</f>
        <v>34.719490105218007</v>
      </c>
    </row>
    <row r="627" spans="1:17" s="25" customFormat="1" ht="30" x14ac:dyDescent="0.25">
      <c r="A627" s="200" t="s">
        <v>22</v>
      </c>
      <c r="B627" s="201" t="s">
        <v>27</v>
      </c>
      <c r="C627" s="201">
        <v>89449</v>
      </c>
      <c r="D627" s="201"/>
      <c r="E627" s="244" t="s">
        <v>492</v>
      </c>
      <c r="F627" s="201" t="s">
        <v>39</v>
      </c>
      <c r="G627" s="231">
        <v>1</v>
      </c>
      <c r="H627" s="203">
        <v>17.760000000000002</v>
      </c>
      <c r="I627" s="203" t="s">
        <v>1193</v>
      </c>
      <c r="J627" s="203">
        <f t="shared" ref="J627:J637" si="55">H627*G627*0.86</f>
        <v>15.273600000000002</v>
      </c>
      <c r="K627" s="203">
        <f t="shared" ref="K627:K637" si="56">G627*H627*0.14</f>
        <v>2.4864000000000006</v>
      </c>
      <c r="L627" s="203"/>
      <c r="M627" s="203"/>
      <c r="N627" s="203"/>
      <c r="O627" s="203"/>
      <c r="P627" s="203"/>
      <c r="Q627" s="203"/>
    </row>
    <row r="628" spans="1:17" s="25" customFormat="1" ht="30" x14ac:dyDescent="0.25">
      <c r="A628" s="196" t="s">
        <v>22</v>
      </c>
      <c r="B628" s="197" t="s">
        <v>27</v>
      </c>
      <c r="C628" s="197">
        <v>89501</v>
      </c>
      <c r="D628" s="197"/>
      <c r="E628" s="243" t="s">
        <v>493</v>
      </c>
      <c r="F628" s="197" t="s">
        <v>1215</v>
      </c>
      <c r="G628" s="209">
        <v>0.28399999999999997</v>
      </c>
      <c r="H628" s="199">
        <v>13.56</v>
      </c>
      <c r="I628" s="199" t="s">
        <v>1193</v>
      </c>
      <c r="J628" s="199">
        <f t="shared" si="55"/>
        <v>3.3118943999999999</v>
      </c>
      <c r="K628" s="199">
        <f t="shared" si="56"/>
        <v>0.5391456</v>
      </c>
      <c r="L628" s="199"/>
      <c r="M628" s="199"/>
      <c r="N628" s="199"/>
      <c r="O628" s="199"/>
      <c r="P628" s="199"/>
      <c r="Q628" s="199"/>
    </row>
    <row r="629" spans="1:17" s="25" customFormat="1" ht="30" x14ac:dyDescent="0.25">
      <c r="A629" s="200" t="s">
        <v>22</v>
      </c>
      <c r="B629" s="201" t="s">
        <v>27</v>
      </c>
      <c r="C629" s="201">
        <v>89502</v>
      </c>
      <c r="D629" s="201"/>
      <c r="E629" s="244" t="s">
        <v>494</v>
      </c>
      <c r="F629" s="201" t="s">
        <v>1215</v>
      </c>
      <c r="G629" s="231">
        <v>0.19400000000000001</v>
      </c>
      <c r="H629" s="203">
        <v>15.54</v>
      </c>
      <c r="I629" s="203" t="s">
        <v>1193</v>
      </c>
      <c r="J629" s="203">
        <f t="shared" si="55"/>
        <v>2.5926936</v>
      </c>
      <c r="K629" s="203">
        <f t="shared" si="56"/>
        <v>0.42206640000000001</v>
      </c>
      <c r="L629" s="203"/>
      <c r="M629" s="203"/>
      <c r="N629" s="203"/>
      <c r="O629" s="203"/>
      <c r="P629" s="203"/>
      <c r="Q629" s="203"/>
    </row>
    <row r="630" spans="1:17" s="25" customFormat="1" ht="30" x14ac:dyDescent="0.25">
      <c r="A630" s="196" t="s">
        <v>22</v>
      </c>
      <c r="B630" s="197" t="s">
        <v>27</v>
      </c>
      <c r="C630" s="197">
        <v>89575</v>
      </c>
      <c r="D630" s="197"/>
      <c r="E630" s="243" t="s">
        <v>495</v>
      </c>
      <c r="F630" s="197" t="s">
        <v>1215</v>
      </c>
      <c r="G630" s="209">
        <v>0.214</v>
      </c>
      <c r="H630" s="199">
        <v>10.71</v>
      </c>
      <c r="I630" s="199" t="s">
        <v>1193</v>
      </c>
      <c r="J630" s="199">
        <f t="shared" si="55"/>
        <v>1.9710684000000003</v>
      </c>
      <c r="K630" s="199">
        <f t="shared" si="56"/>
        <v>0.32087160000000009</v>
      </c>
      <c r="L630" s="199"/>
      <c r="M630" s="199"/>
      <c r="N630" s="199"/>
      <c r="O630" s="199"/>
      <c r="P630" s="199"/>
      <c r="Q630" s="199"/>
    </row>
    <row r="631" spans="1:17" s="25" customFormat="1" ht="30" x14ac:dyDescent="0.25">
      <c r="A631" s="200" t="s">
        <v>22</v>
      </c>
      <c r="B631" s="201" t="s">
        <v>27</v>
      </c>
      <c r="C631" s="201">
        <v>89594</v>
      </c>
      <c r="D631" s="201"/>
      <c r="E631" s="244" t="s">
        <v>496</v>
      </c>
      <c r="F631" s="201" t="s">
        <v>1215</v>
      </c>
      <c r="G631" s="231">
        <v>0.22600000000000001</v>
      </c>
      <c r="H631" s="203">
        <v>40.26</v>
      </c>
      <c r="I631" s="203" t="s">
        <v>1193</v>
      </c>
      <c r="J631" s="203">
        <f t="shared" si="55"/>
        <v>7.8249336000000005</v>
      </c>
      <c r="K631" s="203">
        <f t="shared" si="56"/>
        <v>1.2738264000000001</v>
      </c>
      <c r="L631" s="203"/>
      <c r="M631" s="203"/>
      <c r="N631" s="203"/>
      <c r="O631" s="203"/>
      <c r="P631" s="203"/>
      <c r="Q631" s="203"/>
    </row>
    <row r="632" spans="1:17" s="25" customFormat="1" ht="30" x14ac:dyDescent="0.25">
      <c r="A632" s="196" t="s">
        <v>22</v>
      </c>
      <c r="B632" s="197" t="s">
        <v>27</v>
      </c>
      <c r="C632" s="197">
        <v>89596</v>
      </c>
      <c r="D632" s="197"/>
      <c r="E632" s="243" t="s">
        <v>497</v>
      </c>
      <c r="F632" s="197" t="s">
        <v>1215</v>
      </c>
      <c r="G632" s="209">
        <v>7.51E-2</v>
      </c>
      <c r="H632" s="199">
        <v>10.51</v>
      </c>
      <c r="I632" s="199" t="s">
        <v>1193</v>
      </c>
      <c r="J632" s="199">
        <f t="shared" si="55"/>
        <v>0.67879886</v>
      </c>
      <c r="K632" s="199">
        <f t="shared" si="56"/>
        <v>0.11050214000000001</v>
      </c>
      <c r="L632" s="199"/>
      <c r="M632" s="199"/>
      <c r="N632" s="199"/>
      <c r="O632" s="199"/>
      <c r="P632" s="199"/>
      <c r="Q632" s="199"/>
    </row>
    <row r="633" spans="1:17" s="25" customFormat="1" ht="30" x14ac:dyDescent="0.25">
      <c r="A633" s="200" t="s">
        <v>22</v>
      </c>
      <c r="B633" s="201" t="s">
        <v>27</v>
      </c>
      <c r="C633" s="201">
        <v>89625</v>
      </c>
      <c r="D633" s="201"/>
      <c r="E633" s="244" t="s">
        <v>498</v>
      </c>
      <c r="F633" s="201" t="s">
        <v>1215</v>
      </c>
      <c r="G633" s="231">
        <v>4.5999999999999999E-3</v>
      </c>
      <c r="H633" s="203">
        <v>21.07</v>
      </c>
      <c r="I633" s="203" t="s">
        <v>1193</v>
      </c>
      <c r="J633" s="203">
        <f t="shared" si="55"/>
        <v>8.3352919999999997E-2</v>
      </c>
      <c r="K633" s="203">
        <f t="shared" si="56"/>
        <v>1.3569080000000001E-2</v>
      </c>
      <c r="L633" s="203"/>
      <c r="M633" s="203"/>
      <c r="N633" s="203"/>
      <c r="O633" s="203"/>
      <c r="P633" s="203"/>
      <c r="Q633" s="203"/>
    </row>
    <row r="634" spans="1:17" s="25" customFormat="1" ht="30" x14ac:dyDescent="0.25">
      <c r="A634" s="196" t="s">
        <v>22</v>
      </c>
      <c r="B634" s="197" t="s">
        <v>27</v>
      </c>
      <c r="C634" s="197">
        <v>90437</v>
      </c>
      <c r="D634" s="197"/>
      <c r="E634" s="243" t="s">
        <v>499</v>
      </c>
      <c r="F634" s="197" t="s">
        <v>1215</v>
      </c>
      <c r="G634" s="209">
        <v>4.1799999999999997E-2</v>
      </c>
      <c r="H634" s="199">
        <v>29.71</v>
      </c>
      <c r="I634" s="199" t="s">
        <v>1193</v>
      </c>
      <c r="J634" s="199">
        <f t="shared" si="55"/>
        <v>1.0680150800000001</v>
      </c>
      <c r="K634" s="199">
        <f t="shared" si="56"/>
        <v>0.17386292000000003</v>
      </c>
      <c r="L634" s="199"/>
      <c r="M634" s="199"/>
      <c r="N634" s="199"/>
      <c r="O634" s="199"/>
      <c r="P634" s="199"/>
      <c r="Q634" s="199"/>
    </row>
    <row r="635" spans="1:17" s="25" customFormat="1" ht="30" x14ac:dyDescent="0.25">
      <c r="A635" s="200" t="s">
        <v>22</v>
      </c>
      <c r="B635" s="201" t="s">
        <v>27</v>
      </c>
      <c r="C635" s="201">
        <v>90454</v>
      </c>
      <c r="D635" s="201"/>
      <c r="E635" s="244" t="s">
        <v>500</v>
      </c>
      <c r="F635" s="201" t="s">
        <v>1215</v>
      </c>
      <c r="G635" s="231">
        <v>0.1023</v>
      </c>
      <c r="H635" s="203">
        <v>4.5199999999999996</v>
      </c>
      <c r="I635" s="203" t="s">
        <v>1193</v>
      </c>
      <c r="J635" s="203">
        <f t="shared" si="55"/>
        <v>0.39766056</v>
      </c>
      <c r="K635" s="203">
        <f t="shared" si="56"/>
        <v>6.4735440000000005E-2</v>
      </c>
      <c r="L635" s="203"/>
      <c r="M635" s="203"/>
      <c r="N635" s="203"/>
      <c r="O635" s="203"/>
      <c r="P635" s="203"/>
      <c r="Q635" s="203"/>
    </row>
    <row r="636" spans="1:17" s="25" customFormat="1" ht="45" x14ac:dyDescent="0.25">
      <c r="A636" s="196" t="s">
        <v>22</v>
      </c>
      <c r="B636" s="197" t="s">
        <v>27</v>
      </c>
      <c r="C636" s="197">
        <v>91186</v>
      </c>
      <c r="D636" s="197"/>
      <c r="E636" s="243" t="s">
        <v>501</v>
      </c>
      <c r="F636" s="197" t="s">
        <v>39</v>
      </c>
      <c r="G636" s="209">
        <v>0.44569999999999999</v>
      </c>
      <c r="H636" s="199">
        <v>5.48</v>
      </c>
      <c r="I636" s="199" t="s">
        <v>1193</v>
      </c>
      <c r="J636" s="199">
        <f t="shared" si="55"/>
        <v>2.1004949600000002</v>
      </c>
      <c r="K636" s="199">
        <f t="shared" si="56"/>
        <v>0.34194104000000008</v>
      </c>
      <c r="L636" s="199"/>
      <c r="M636" s="199"/>
      <c r="N636" s="199"/>
      <c r="O636" s="199"/>
      <c r="P636" s="199"/>
      <c r="Q636" s="199"/>
    </row>
    <row r="637" spans="1:17" s="25" customFormat="1" ht="30" x14ac:dyDescent="0.25">
      <c r="A637" s="200" t="s">
        <v>22</v>
      </c>
      <c r="B637" s="201" t="s">
        <v>27</v>
      </c>
      <c r="C637" s="201">
        <v>91191</v>
      </c>
      <c r="D637" s="201"/>
      <c r="E637" s="244" t="s">
        <v>502</v>
      </c>
      <c r="F637" s="201" t="s">
        <v>1215</v>
      </c>
      <c r="G637" s="231">
        <v>4.1799999999999997E-2</v>
      </c>
      <c r="H637" s="203">
        <v>4.5199999999999996</v>
      </c>
      <c r="I637" s="203" t="s">
        <v>1193</v>
      </c>
      <c r="J637" s="203">
        <f t="shared" si="55"/>
        <v>0.16248495999999996</v>
      </c>
      <c r="K637" s="203">
        <f t="shared" si="56"/>
        <v>2.6451039999999999E-2</v>
      </c>
      <c r="L637" s="203"/>
      <c r="M637" s="203"/>
      <c r="N637" s="203"/>
      <c r="O637" s="203"/>
      <c r="P637" s="203"/>
      <c r="Q637" s="203"/>
    </row>
    <row r="638" spans="1:17" s="25" customFormat="1" x14ac:dyDescent="0.25">
      <c r="A638" s="159"/>
      <c r="B638" s="160"/>
      <c r="C638" s="160"/>
      <c r="D638" s="160"/>
      <c r="E638" s="161"/>
      <c r="F638" s="160"/>
      <c r="G638" s="162"/>
      <c r="H638" s="162"/>
      <c r="I638" s="162" t="s">
        <v>1193</v>
      </c>
      <c r="J638" s="162"/>
      <c r="K638" s="162"/>
      <c r="L638" s="162"/>
      <c r="M638" s="162"/>
      <c r="N638" s="162"/>
      <c r="O638" s="162"/>
      <c r="P638" s="162"/>
      <c r="Q638" s="162"/>
    </row>
    <row r="639" spans="1:17" s="25" customFormat="1" ht="40.9" customHeight="1" x14ac:dyDescent="0.25">
      <c r="A639" s="149" t="s">
        <v>22</v>
      </c>
      <c r="B639" s="148"/>
      <c r="C639" s="148">
        <v>93214</v>
      </c>
      <c r="D639" s="143" t="s">
        <v>503</v>
      </c>
      <c r="E639" s="144" t="s">
        <v>504</v>
      </c>
      <c r="F639" s="143" t="s">
        <v>1215</v>
      </c>
      <c r="G639" s="146"/>
      <c r="H639" s="146"/>
      <c r="I639" s="146">
        <v>1</v>
      </c>
      <c r="J639" s="146">
        <f>SUM(J640:J647)</f>
        <v>1264.6020000000001</v>
      </c>
      <c r="K639" s="146">
        <f>SUM(K640:K647)</f>
        <v>66.557999999999993</v>
      </c>
      <c r="L639" s="146">
        <f>J639+K639</f>
        <v>1331.16</v>
      </c>
      <c r="M639" s="146">
        <f>J639*I639</f>
        <v>1264.6020000000001</v>
      </c>
      <c r="N639" s="146">
        <f>K639*I639</f>
        <v>66.557999999999993</v>
      </c>
      <c r="O639" s="146">
        <f>M639+N639</f>
        <v>1331.16</v>
      </c>
      <c r="P639" s="146">
        <f>O639*$P$1</f>
        <v>341.57565600000004</v>
      </c>
      <c r="Q639" s="146">
        <f>P639+O639</f>
        <v>1672.7356560000001</v>
      </c>
    </row>
    <row r="640" spans="1:17" s="25" customFormat="1" ht="45" customHeight="1" x14ac:dyDescent="0.25">
      <c r="A640" s="196" t="s">
        <v>22</v>
      </c>
      <c r="B640" s="197" t="s">
        <v>27</v>
      </c>
      <c r="C640" s="197">
        <v>34636</v>
      </c>
      <c r="D640" s="197"/>
      <c r="E640" s="334" t="s">
        <v>505</v>
      </c>
      <c r="F640" s="197" t="s">
        <v>1215</v>
      </c>
      <c r="G640" s="197">
        <v>1</v>
      </c>
      <c r="H640" s="199">
        <v>415</v>
      </c>
      <c r="I640" s="199" t="s">
        <v>1193</v>
      </c>
      <c r="J640" s="199">
        <f t="shared" ref="J640:J647" si="57">H640*G640*0.95</f>
        <v>394.25</v>
      </c>
      <c r="K640" s="199">
        <f t="shared" ref="K640:K647" si="58">G640*H640*0.05</f>
        <v>20.75</v>
      </c>
      <c r="L640" s="199"/>
      <c r="M640" s="199"/>
      <c r="N640" s="199"/>
      <c r="O640" s="199"/>
      <c r="P640" s="199"/>
      <c r="Q640" s="199"/>
    </row>
    <row r="641" spans="1:17" s="25" customFormat="1" ht="45" customHeight="1" x14ac:dyDescent="0.25">
      <c r="A641" s="200" t="s">
        <v>22</v>
      </c>
      <c r="B641" s="201" t="s">
        <v>27</v>
      </c>
      <c r="C641" s="201">
        <v>89408</v>
      </c>
      <c r="D641" s="201"/>
      <c r="E641" s="244" t="s">
        <v>474</v>
      </c>
      <c r="F641" s="201" t="s">
        <v>1215</v>
      </c>
      <c r="G641" s="201">
        <v>3</v>
      </c>
      <c r="H641" s="203">
        <v>5.37</v>
      </c>
      <c r="I641" s="203" t="s">
        <v>1193</v>
      </c>
      <c r="J641" s="203">
        <f t="shared" si="57"/>
        <v>15.304499999999999</v>
      </c>
      <c r="K641" s="203">
        <f t="shared" si="58"/>
        <v>0.80549999999999999</v>
      </c>
      <c r="L641" s="203"/>
      <c r="M641" s="203"/>
      <c r="N641" s="203"/>
      <c r="O641" s="203"/>
      <c r="P641" s="203"/>
      <c r="Q641" s="203"/>
    </row>
    <row r="642" spans="1:17" s="25" customFormat="1" ht="45" customHeight="1" x14ac:dyDescent="0.25">
      <c r="A642" s="196" t="s">
        <v>22</v>
      </c>
      <c r="B642" s="197" t="s">
        <v>27</v>
      </c>
      <c r="C642" s="197">
        <v>89972</v>
      </c>
      <c r="D642" s="197"/>
      <c r="E642" s="243" t="s">
        <v>506</v>
      </c>
      <c r="F642" s="197" t="s">
        <v>1215</v>
      </c>
      <c r="G642" s="197">
        <v>1</v>
      </c>
      <c r="H642" s="199">
        <v>49.53</v>
      </c>
      <c r="I642" s="199" t="s">
        <v>1193</v>
      </c>
      <c r="J642" s="199">
        <f t="shared" si="57"/>
        <v>47.0535</v>
      </c>
      <c r="K642" s="199">
        <f t="shared" si="58"/>
        <v>2.4765000000000001</v>
      </c>
      <c r="L642" s="199"/>
      <c r="M642" s="199"/>
      <c r="N642" s="199"/>
      <c r="O642" s="199"/>
      <c r="P642" s="199"/>
      <c r="Q642" s="199"/>
    </row>
    <row r="643" spans="1:17" s="25" customFormat="1" ht="45" customHeight="1" x14ac:dyDescent="0.25">
      <c r="A643" s="200" t="s">
        <v>22</v>
      </c>
      <c r="B643" s="201" t="s">
        <v>27</v>
      </c>
      <c r="C643" s="201">
        <v>94648</v>
      </c>
      <c r="D643" s="201"/>
      <c r="E643" s="244" t="s">
        <v>507</v>
      </c>
      <c r="F643" s="201" t="s">
        <v>39</v>
      </c>
      <c r="G643" s="201">
        <v>19</v>
      </c>
      <c r="H643" s="203">
        <v>9.98</v>
      </c>
      <c r="I643" s="203" t="s">
        <v>1193</v>
      </c>
      <c r="J643" s="203">
        <f t="shared" si="57"/>
        <v>180.13900000000001</v>
      </c>
      <c r="K643" s="203">
        <f t="shared" si="58"/>
        <v>9.4809999999999999</v>
      </c>
      <c r="L643" s="203"/>
      <c r="M643" s="203"/>
      <c r="N643" s="203"/>
      <c r="O643" s="203"/>
      <c r="P643" s="203"/>
      <c r="Q643" s="203"/>
    </row>
    <row r="644" spans="1:17" s="25" customFormat="1" ht="45" customHeight="1" x14ac:dyDescent="0.25">
      <c r="A644" s="196" t="s">
        <v>22</v>
      </c>
      <c r="B644" s="197" t="s">
        <v>27</v>
      </c>
      <c r="C644" s="197">
        <v>94688</v>
      </c>
      <c r="D644" s="197"/>
      <c r="E644" s="243" t="s">
        <v>508</v>
      </c>
      <c r="F644" s="197" t="s">
        <v>1215</v>
      </c>
      <c r="G644" s="197">
        <v>2</v>
      </c>
      <c r="H644" s="199">
        <v>9.89</v>
      </c>
      <c r="I644" s="199" t="s">
        <v>1193</v>
      </c>
      <c r="J644" s="199">
        <f t="shared" si="57"/>
        <v>18.791</v>
      </c>
      <c r="K644" s="199">
        <f t="shared" si="58"/>
        <v>0.9890000000000001</v>
      </c>
      <c r="L644" s="199"/>
      <c r="M644" s="199"/>
      <c r="N644" s="199"/>
      <c r="O644" s="199"/>
      <c r="P644" s="199"/>
      <c r="Q644" s="199"/>
    </row>
    <row r="645" spans="1:17" s="25" customFormat="1" ht="45" customHeight="1" x14ac:dyDescent="0.25">
      <c r="A645" s="200" t="s">
        <v>22</v>
      </c>
      <c r="B645" s="201" t="s">
        <v>27</v>
      </c>
      <c r="C645" s="201">
        <v>94703</v>
      </c>
      <c r="D645" s="201"/>
      <c r="E645" s="244" t="s">
        <v>509</v>
      </c>
      <c r="F645" s="201" t="s">
        <v>1215</v>
      </c>
      <c r="G645" s="201">
        <v>1</v>
      </c>
      <c r="H645" s="203">
        <v>20.010000000000002</v>
      </c>
      <c r="I645" s="203" t="s">
        <v>1193</v>
      </c>
      <c r="J645" s="203">
        <f t="shared" si="57"/>
        <v>19.009499999999999</v>
      </c>
      <c r="K645" s="203">
        <f t="shared" si="58"/>
        <v>1.0005000000000002</v>
      </c>
      <c r="L645" s="203"/>
      <c r="M645" s="203"/>
      <c r="N645" s="203"/>
      <c r="O645" s="203"/>
      <c r="P645" s="203"/>
      <c r="Q645" s="203"/>
    </row>
    <row r="646" spans="1:17" s="25" customFormat="1" ht="45" customHeight="1" x14ac:dyDescent="0.25">
      <c r="A646" s="196" t="s">
        <v>22</v>
      </c>
      <c r="B646" s="197" t="s">
        <v>27</v>
      </c>
      <c r="C646" s="197">
        <v>94796</v>
      </c>
      <c r="D646" s="197"/>
      <c r="E646" s="243" t="s">
        <v>510</v>
      </c>
      <c r="F646" s="197" t="s">
        <v>1215</v>
      </c>
      <c r="G646" s="197">
        <v>1</v>
      </c>
      <c r="H646" s="199">
        <v>25.48</v>
      </c>
      <c r="I646" s="199" t="s">
        <v>1193</v>
      </c>
      <c r="J646" s="199">
        <f t="shared" si="57"/>
        <v>24.206</v>
      </c>
      <c r="K646" s="199">
        <f t="shared" si="58"/>
        <v>1.274</v>
      </c>
      <c r="L646" s="199"/>
      <c r="M646" s="199"/>
      <c r="N646" s="199"/>
      <c r="O646" s="199"/>
      <c r="P646" s="199"/>
      <c r="Q646" s="199"/>
    </row>
    <row r="647" spans="1:17" s="25" customFormat="1" ht="45" customHeight="1" x14ac:dyDescent="0.25">
      <c r="A647" s="200" t="s">
        <v>22</v>
      </c>
      <c r="B647" s="201" t="s">
        <v>27</v>
      </c>
      <c r="C647" s="201">
        <v>98461</v>
      </c>
      <c r="D647" s="201"/>
      <c r="E647" s="244" t="s">
        <v>1164</v>
      </c>
      <c r="F647" s="201" t="s">
        <v>1215</v>
      </c>
      <c r="G647" s="203">
        <v>0.1</v>
      </c>
      <c r="H647" s="203">
        <v>5956.3</v>
      </c>
      <c r="I647" s="203" t="s">
        <v>1193</v>
      </c>
      <c r="J647" s="203">
        <f t="shared" si="57"/>
        <v>565.84849999999994</v>
      </c>
      <c r="K647" s="203">
        <f t="shared" si="58"/>
        <v>29.781500000000001</v>
      </c>
      <c r="L647" s="203"/>
      <c r="M647" s="203"/>
      <c r="N647" s="203"/>
      <c r="O647" s="203"/>
      <c r="P647" s="203"/>
      <c r="Q647" s="203"/>
    </row>
    <row r="648" spans="1:17" s="25" customFormat="1" x14ac:dyDescent="0.25">
      <c r="A648" s="159"/>
      <c r="B648" s="160"/>
      <c r="C648" s="160"/>
      <c r="D648" s="160"/>
      <c r="E648" s="161"/>
      <c r="F648" s="160"/>
      <c r="G648" s="162"/>
      <c r="H648" s="162"/>
      <c r="I648" s="162" t="s">
        <v>1193</v>
      </c>
      <c r="J648" s="162"/>
      <c r="K648" s="162"/>
      <c r="L648" s="162"/>
      <c r="M648" s="162"/>
      <c r="N648" s="162"/>
      <c r="O648" s="162"/>
      <c r="P648" s="162"/>
      <c r="Q648" s="162"/>
    </row>
    <row r="649" spans="1:17" s="25" customFormat="1" x14ac:dyDescent="0.25">
      <c r="A649" s="149" t="s">
        <v>22</v>
      </c>
      <c r="B649" s="148"/>
      <c r="C649" s="148">
        <v>89435</v>
      </c>
      <c r="D649" s="143" t="s">
        <v>511</v>
      </c>
      <c r="E649" s="144" t="s">
        <v>512</v>
      </c>
      <c r="F649" s="143" t="s">
        <v>1215</v>
      </c>
      <c r="G649" s="146"/>
      <c r="H649" s="146"/>
      <c r="I649" s="146">
        <v>1</v>
      </c>
      <c r="J649" s="146">
        <f>SUM(J650:J655)</f>
        <v>18.8021995348</v>
      </c>
      <c r="K649" s="146">
        <f>SUM(K650:K655)</f>
        <v>2.2021345089999995</v>
      </c>
      <c r="L649" s="146">
        <f>J649+K649</f>
        <v>21.0043340438</v>
      </c>
      <c r="M649" s="146">
        <f>J649*I649</f>
        <v>18.8021995348</v>
      </c>
      <c r="N649" s="146">
        <f>K649*I649</f>
        <v>2.2021345089999995</v>
      </c>
      <c r="O649" s="146">
        <f>M649+N649</f>
        <v>21.0043340438</v>
      </c>
      <c r="P649" s="146">
        <f>O649*$P$1</f>
        <v>5.3897121156390799</v>
      </c>
      <c r="Q649" s="146">
        <f>P649+O649</f>
        <v>26.394046159439078</v>
      </c>
    </row>
    <row r="650" spans="1:17" s="25" customFormat="1" x14ac:dyDescent="0.25">
      <c r="A650" s="196" t="s">
        <v>22</v>
      </c>
      <c r="B650" s="197" t="s">
        <v>27</v>
      </c>
      <c r="C650" s="197">
        <v>88248</v>
      </c>
      <c r="D650" s="197"/>
      <c r="E650" s="243" t="s">
        <v>513</v>
      </c>
      <c r="F650" s="197" t="s">
        <v>29</v>
      </c>
      <c r="G650" s="197">
        <v>7.0999999999999994E-2</v>
      </c>
      <c r="H650" s="199">
        <v>18.57</v>
      </c>
      <c r="I650" s="199" t="s">
        <v>1193</v>
      </c>
      <c r="J650" s="199">
        <f>0.31064*H650*G650</f>
        <v>0.40956952079999998</v>
      </c>
      <c r="K650" s="199">
        <f>0.6895*H650*G650</f>
        <v>0.90908506499999986</v>
      </c>
      <c r="L650" s="199"/>
      <c r="M650" s="199"/>
      <c r="N650" s="199"/>
      <c r="O650" s="199"/>
      <c r="P650" s="199"/>
      <c r="Q650" s="199"/>
    </row>
    <row r="651" spans="1:17" s="25" customFormat="1" x14ac:dyDescent="0.25">
      <c r="A651" s="200" t="s">
        <v>22</v>
      </c>
      <c r="B651" s="201" t="s">
        <v>27</v>
      </c>
      <c r="C651" s="201">
        <v>88267</v>
      </c>
      <c r="D651" s="201"/>
      <c r="E651" s="244" t="s">
        <v>514</v>
      </c>
      <c r="F651" s="201" t="s">
        <v>29</v>
      </c>
      <c r="G651" s="201">
        <v>7.0999999999999994E-2</v>
      </c>
      <c r="H651" s="203">
        <v>24.02</v>
      </c>
      <c r="I651" s="203" t="s">
        <v>1193</v>
      </c>
      <c r="J651" s="203">
        <f>0.2417*H651*G651</f>
        <v>0.41220001399999995</v>
      </c>
      <c r="K651" s="203">
        <f>0.7582*H651*G651</f>
        <v>1.2930494439999998</v>
      </c>
      <c r="L651" s="203"/>
      <c r="M651" s="203"/>
      <c r="N651" s="203"/>
      <c r="O651" s="203"/>
      <c r="P651" s="203"/>
      <c r="Q651" s="203"/>
    </row>
    <row r="652" spans="1:17" s="25" customFormat="1" x14ac:dyDescent="0.25">
      <c r="A652" s="196" t="s">
        <v>22</v>
      </c>
      <c r="B652" s="197" t="s">
        <v>62</v>
      </c>
      <c r="C652" s="197">
        <v>122</v>
      </c>
      <c r="D652" s="197"/>
      <c r="E652" s="243" t="s">
        <v>515</v>
      </c>
      <c r="F652" s="197" t="s">
        <v>1215</v>
      </c>
      <c r="G652" s="197">
        <v>8.9999999999999993E-3</v>
      </c>
      <c r="H652" s="199">
        <v>71.36</v>
      </c>
      <c r="I652" s="199" t="s">
        <v>1193</v>
      </c>
      <c r="J652" s="199">
        <f t="shared" ref="J652:J655" si="59">G652*H652</f>
        <v>0.64223999999999992</v>
      </c>
      <c r="K652" s="199"/>
      <c r="L652" s="199"/>
      <c r="M652" s="199"/>
      <c r="N652" s="199"/>
      <c r="O652" s="199"/>
      <c r="P652" s="199"/>
      <c r="Q652" s="199"/>
    </row>
    <row r="653" spans="1:17" s="25" customFormat="1" x14ac:dyDescent="0.25">
      <c r="A653" s="200" t="s">
        <v>22</v>
      </c>
      <c r="B653" s="201" t="s">
        <v>62</v>
      </c>
      <c r="C653" s="201">
        <v>9895</v>
      </c>
      <c r="D653" s="201"/>
      <c r="E653" s="244" t="s">
        <v>516</v>
      </c>
      <c r="F653" s="201" t="s">
        <v>206</v>
      </c>
      <c r="G653" s="201">
        <v>1</v>
      </c>
      <c r="H653" s="203">
        <v>16.600000000000001</v>
      </c>
      <c r="I653" s="203" t="s">
        <v>1193</v>
      </c>
      <c r="J653" s="203">
        <f t="shared" si="59"/>
        <v>16.600000000000001</v>
      </c>
      <c r="K653" s="203"/>
      <c r="L653" s="203"/>
      <c r="M653" s="203"/>
      <c r="N653" s="203"/>
      <c r="O653" s="203"/>
      <c r="P653" s="203"/>
      <c r="Q653" s="203"/>
    </row>
    <row r="654" spans="1:17" s="25" customFormat="1" x14ac:dyDescent="0.25">
      <c r="A654" s="196" t="s">
        <v>22</v>
      </c>
      <c r="B654" s="197" t="s">
        <v>62</v>
      </c>
      <c r="C654" s="197">
        <v>20083</v>
      </c>
      <c r="D654" s="197"/>
      <c r="E654" s="243" t="s">
        <v>517</v>
      </c>
      <c r="F654" s="197" t="s">
        <v>1215</v>
      </c>
      <c r="G654" s="197">
        <v>1.0999999999999999E-2</v>
      </c>
      <c r="H654" s="199">
        <v>61.97</v>
      </c>
      <c r="I654" s="199" t="s">
        <v>1193</v>
      </c>
      <c r="J654" s="199">
        <f t="shared" si="59"/>
        <v>0.68167</v>
      </c>
      <c r="K654" s="199"/>
      <c r="L654" s="199"/>
      <c r="M654" s="199"/>
      <c r="N654" s="199"/>
      <c r="O654" s="199"/>
      <c r="P654" s="199"/>
      <c r="Q654" s="199"/>
    </row>
    <row r="655" spans="1:17" s="25" customFormat="1" x14ac:dyDescent="0.25">
      <c r="A655" s="200" t="s">
        <v>22</v>
      </c>
      <c r="B655" s="201" t="s">
        <v>62</v>
      </c>
      <c r="C655" s="201">
        <v>38383</v>
      </c>
      <c r="D655" s="201"/>
      <c r="E655" s="244" t="s">
        <v>518</v>
      </c>
      <c r="F655" s="201" t="s">
        <v>1215</v>
      </c>
      <c r="G655" s="201">
        <v>3.5999999999999997E-2</v>
      </c>
      <c r="H655" s="203">
        <v>1.57</v>
      </c>
      <c r="I655" s="203" t="s">
        <v>1193</v>
      </c>
      <c r="J655" s="203">
        <f t="shared" si="59"/>
        <v>5.6520000000000001E-2</v>
      </c>
      <c r="K655" s="203"/>
      <c r="L655" s="203"/>
      <c r="M655" s="203"/>
      <c r="N655" s="203"/>
      <c r="O655" s="203"/>
      <c r="P655" s="203"/>
      <c r="Q655" s="203"/>
    </row>
    <row r="656" spans="1:17" s="25" customFormat="1" x14ac:dyDescent="0.25">
      <c r="A656" s="159"/>
      <c r="B656" s="160"/>
      <c r="C656" s="160"/>
      <c r="D656" s="160"/>
      <c r="E656" s="161"/>
      <c r="F656" s="160"/>
      <c r="G656" s="162"/>
      <c r="H656" s="162"/>
      <c r="I656" s="162" t="s">
        <v>1193</v>
      </c>
      <c r="J656" s="162"/>
      <c r="K656" s="162"/>
      <c r="L656" s="162"/>
      <c r="M656" s="162"/>
      <c r="N656" s="162"/>
      <c r="O656" s="162"/>
      <c r="P656" s="162"/>
      <c r="Q656" s="162"/>
    </row>
    <row r="657" spans="1:17" s="25" customFormat="1" x14ac:dyDescent="0.25">
      <c r="A657" s="149" t="s">
        <v>22</v>
      </c>
      <c r="B657" s="148"/>
      <c r="C657" s="148">
        <v>89594</v>
      </c>
      <c r="D657" s="143" t="s">
        <v>519</v>
      </c>
      <c r="E657" s="144" t="s">
        <v>520</v>
      </c>
      <c r="F657" s="143" t="s">
        <v>1215</v>
      </c>
      <c r="G657" s="146"/>
      <c r="H657" s="146"/>
      <c r="I657" s="146">
        <v>1</v>
      </c>
      <c r="J657" s="146">
        <f>SUM(J658:J663)</f>
        <v>38.056283753599999</v>
      </c>
      <c r="K657" s="146">
        <f>SUM(K658:K663)</f>
        <v>2.2331504879999997</v>
      </c>
      <c r="L657" s="146">
        <f>J657+K657</f>
        <v>40.289434241599999</v>
      </c>
      <c r="M657" s="146">
        <f>J657*I657</f>
        <v>38.056283753599999</v>
      </c>
      <c r="N657" s="146">
        <f>K657*I657</f>
        <v>2.2331504879999997</v>
      </c>
      <c r="O657" s="146">
        <f>M657+N657</f>
        <v>40.289434241599999</v>
      </c>
      <c r="P657" s="146">
        <f>O657*$P$1</f>
        <v>10.338268826394559</v>
      </c>
      <c r="Q657" s="146">
        <f>P657+O657</f>
        <v>50.62770306799456</v>
      </c>
    </row>
    <row r="658" spans="1:17" s="25" customFormat="1" x14ac:dyDescent="0.25">
      <c r="A658" s="196" t="s">
        <v>22</v>
      </c>
      <c r="B658" s="197" t="s">
        <v>27</v>
      </c>
      <c r="C658" s="197">
        <v>88248</v>
      </c>
      <c r="D658" s="197"/>
      <c r="E658" s="243" t="s">
        <v>513</v>
      </c>
      <c r="F658" s="197" t="s">
        <v>29</v>
      </c>
      <c r="G658" s="199">
        <v>7.1999999999999995E-2</v>
      </c>
      <c r="H658" s="199">
        <v>18.57</v>
      </c>
      <c r="I658" s="199" t="s">
        <v>1193</v>
      </c>
      <c r="J658" s="199">
        <f>0.31064*H658*G658</f>
        <v>0.41533810560000001</v>
      </c>
      <c r="K658" s="199">
        <f>0.6895*H658*G658</f>
        <v>0.92188907999999992</v>
      </c>
      <c r="L658" s="199"/>
      <c r="M658" s="199"/>
      <c r="N658" s="199"/>
      <c r="O658" s="199"/>
      <c r="P658" s="199"/>
      <c r="Q658" s="199"/>
    </row>
    <row r="659" spans="1:17" s="25" customFormat="1" x14ac:dyDescent="0.25">
      <c r="A659" s="200" t="s">
        <v>22</v>
      </c>
      <c r="B659" s="201" t="s">
        <v>27</v>
      </c>
      <c r="C659" s="201">
        <v>88267</v>
      </c>
      <c r="D659" s="201"/>
      <c r="E659" s="244" t="s">
        <v>514</v>
      </c>
      <c r="F659" s="201" t="s">
        <v>29</v>
      </c>
      <c r="G659" s="203">
        <v>7.1999999999999995E-2</v>
      </c>
      <c r="H659" s="203">
        <v>24.02</v>
      </c>
      <c r="I659" s="203" t="s">
        <v>1193</v>
      </c>
      <c r="J659" s="203">
        <f>0.2417*H659*G659</f>
        <v>0.41800564799999995</v>
      </c>
      <c r="K659" s="203">
        <f>0.7582*H659*G659</f>
        <v>1.3112614079999998</v>
      </c>
      <c r="L659" s="203"/>
      <c r="M659" s="203"/>
      <c r="N659" s="203"/>
      <c r="O659" s="203"/>
      <c r="P659" s="203"/>
      <c r="Q659" s="203"/>
    </row>
    <row r="660" spans="1:17" s="25" customFormat="1" x14ac:dyDescent="0.25">
      <c r="A660" s="196" t="s">
        <v>22</v>
      </c>
      <c r="B660" s="197" t="s">
        <v>62</v>
      </c>
      <c r="C660" s="197">
        <v>122</v>
      </c>
      <c r="D660" s="197"/>
      <c r="E660" s="243" t="s">
        <v>515</v>
      </c>
      <c r="F660" s="197" t="s">
        <v>1215</v>
      </c>
      <c r="G660" s="197">
        <v>1.7999999999999999E-2</v>
      </c>
      <c r="H660" s="199">
        <v>71.36</v>
      </c>
      <c r="I660" s="199" t="s">
        <v>1193</v>
      </c>
      <c r="J660" s="199">
        <f t="shared" ref="J660:J663" si="60">G660*H660</f>
        <v>1.2844799999999998</v>
      </c>
      <c r="K660" s="199"/>
      <c r="L660" s="199"/>
      <c r="M660" s="199"/>
      <c r="N660" s="199"/>
      <c r="O660" s="199"/>
      <c r="P660" s="199"/>
      <c r="Q660" s="199"/>
    </row>
    <row r="661" spans="1:17" s="25" customFormat="1" x14ac:dyDescent="0.25">
      <c r="A661" s="200" t="s">
        <v>22</v>
      </c>
      <c r="B661" s="201" t="s">
        <v>62</v>
      </c>
      <c r="C661" s="201">
        <v>9897</v>
      </c>
      <c r="D661" s="201"/>
      <c r="E661" s="244" t="s">
        <v>521</v>
      </c>
      <c r="F661" s="201" t="s">
        <v>206</v>
      </c>
      <c r="G661" s="201">
        <v>1</v>
      </c>
      <c r="H661" s="199">
        <v>34.53</v>
      </c>
      <c r="I661" s="203" t="s">
        <v>1193</v>
      </c>
      <c r="J661" s="203">
        <f t="shared" si="60"/>
        <v>34.53</v>
      </c>
      <c r="K661" s="203"/>
      <c r="L661" s="203"/>
      <c r="M661" s="203"/>
      <c r="N661" s="203"/>
      <c r="O661" s="203"/>
      <c r="P661" s="203"/>
      <c r="Q661" s="203"/>
    </row>
    <row r="662" spans="1:17" s="25" customFormat="1" x14ac:dyDescent="0.25">
      <c r="A662" s="196" t="s">
        <v>22</v>
      </c>
      <c r="B662" s="197" t="s">
        <v>62</v>
      </c>
      <c r="C662" s="197">
        <v>20083</v>
      </c>
      <c r="D662" s="197"/>
      <c r="E662" s="243" t="s">
        <v>517</v>
      </c>
      <c r="F662" s="197" t="s">
        <v>1215</v>
      </c>
      <c r="G662" s="197">
        <v>2.1999999999999999E-2</v>
      </c>
      <c r="H662" s="199">
        <v>61.97</v>
      </c>
      <c r="I662" s="199" t="s">
        <v>1193</v>
      </c>
      <c r="J662" s="199">
        <f t="shared" si="60"/>
        <v>1.36334</v>
      </c>
      <c r="K662" s="199"/>
      <c r="L662" s="199"/>
      <c r="M662" s="199"/>
      <c r="N662" s="199"/>
      <c r="O662" s="199"/>
      <c r="P662" s="199"/>
      <c r="Q662" s="199"/>
    </row>
    <row r="663" spans="1:17" s="25" customFormat="1" x14ac:dyDescent="0.25">
      <c r="A663" s="200" t="s">
        <v>22</v>
      </c>
      <c r="B663" s="201" t="s">
        <v>62</v>
      </c>
      <c r="C663" s="201">
        <v>38383</v>
      </c>
      <c r="D663" s="201"/>
      <c r="E663" s="244" t="s">
        <v>518</v>
      </c>
      <c r="F663" s="201" t="s">
        <v>1215</v>
      </c>
      <c r="G663" s="201">
        <v>2.4E-2</v>
      </c>
      <c r="H663" s="199">
        <v>1.88</v>
      </c>
      <c r="I663" s="203" t="s">
        <v>1193</v>
      </c>
      <c r="J663" s="203">
        <f t="shared" si="60"/>
        <v>4.512E-2</v>
      </c>
      <c r="K663" s="203"/>
      <c r="L663" s="203"/>
      <c r="M663" s="203"/>
      <c r="N663" s="203"/>
      <c r="O663" s="203"/>
      <c r="P663" s="203"/>
      <c r="Q663" s="203"/>
    </row>
    <row r="664" spans="1:17" s="25" customFormat="1" x14ac:dyDescent="0.25">
      <c r="A664" s="159"/>
      <c r="B664" s="160"/>
      <c r="C664" s="160"/>
      <c r="D664" s="160"/>
      <c r="E664" s="161"/>
      <c r="F664" s="160"/>
      <c r="G664" s="162"/>
      <c r="H664" s="162"/>
      <c r="I664" s="162" t="s">
        <v>1193</v>
      </c>
      <c r="J664" s="162"/>
      <c r="K664" s="162"/>
      <c r="L664" s="162"/>
      <c r="M664" s="162"/>
      <c r="N664" s="162"/>
      <c r="O664" s="162"/>
      <c r="P664" s="162"/>
      <c r="Q664" s="162"/>
    </row>
    <row r="665" spans="1:17" s="25" customFormat="1" ht="30" x14ac:dyDescent="0.25">
      <c r="A665" s="149" t="s">
        <v>22</v>
      </c>
      <c r="B665" s="148"/>
      <c r="C665" s="148">
        <v>94797</v>
      </c>
      <c r="D665" s="143" t="s">
        <v>522</v>
      </c>
      <c r="E665" s="144" t="s">
        <v>523</v>
      </c>
      <c r="F665" s="143" t="s">
        <v>1215</v>
      </c>
      <c r="G665" s="146"/>
      <c r="H665" s="146"/>
      <c r="I665" s="146">
        <v>1</v>
      </c>
      <c r="J665" s="146">
        <f>SUM(J666:J669)</f>
        <v>29.874461049403997</v>
      </c>
      <c r="K665" s="146">
        <f>SUM(K666:K669)</f>
        <v>8.3535336240699998</v>
      </c>
      <c r="L665" s="146">
        <f>J665+K665</f>
        <v>38.227994673474001</v>
      </c>
      <c r="M665" s="146">
        <f>J665*I665</f>
        <v>29.874461049403997</v>
      </c>
      <c r="N665" s="146">
        <f>K665*I665</f>
        <v>8.3535336240699998</v>
      </c>
      <c r="O665" s="146">
        <f>M665+N665</f>
        <v>38.227994673474001</v>
      </c>
      <c r="P665" s="146">
        <f>O665*$P$1</f>
        <v>9.8093034332134277</v>
      </c>
      <c r="Q665" s="146">
        <f>P665+O665</f>
        <v>48.03729810668743</v>
      </c>
    </row>
    <row r="666" spans="1:17" s="25" customFormat="1" x14ac:dyDescent="0.25">
      <c r="A666" s="196" t="s">
        <v>22</v>
      </c>
      <c r="B666" s="197" t="s">
        <v>27</v>
      </c>
      <c r="C666" s="197">
        <v>88248</v>
      </c>
      <c r="D666" s="197"/>
      <c r="E666" s="243" t="s">
        <v>513</v>
      </c>
      <c r="F666" s="197" t="s">
        <v>29</v>
      </c>
      <c r="G666" s="199">
        <v>0.26933000000000001</v>
      </c>
      <c r="H666" s="199">
        <v>18.57</v>
      </c>
      <c r="I666" s="199" t="s">
        <v>1193</v>
      </c>
      <c r="J666" s="199">
        <f>0.31064*H666*G666</f>
        <v>1.5536529441840001</v>
      </c>
      <c r="K666" s="199">
        <f>0.6895*H666*G666</f>
        <v>3.44850535995</v>
      </c>
      <c r="L666" s="199"/>
      <c r="M666" s="199"/>
      <c r="N666" s="199"/>
      <c r="O666" s="199"/>
      <c r="P666" s="199"/>
      <c r="Q666" s="199"/>
    </row>
    <row r="667" spans="1:17" s="25" customFormat="1" x14ac:dyDescent="0.25">
      <c r="A667" s="200" t="s">
        <v>22</v>
      </c>
      <c r="B667" s="201" t="s">
        <v>27</v>
      </c>
      <c r="C667" s="201">
        <v>88267</v>
      </c>
      <c r="D667" s="201"/>
      <c r="E667" s="244" t="s">
        <v>514</v>
      </c>
      <c r="F667" s="201" t="s">
        <v>29</v>
      </c>
      <c r="G667" s="203">
        <v>0.26933000000000001</v>
      </c>
      <c r="H667" s="203">
        <v>24.02</v>
      </c>
      <c r="I667" s="203" t="s">
        <v>1193</v>
      </c>
      <c r="J667" s="203">
        <f>0.2417*H667*G667</f>
        <v>1.56363140522</v>
      </c>
      <c r="K667" s="203">
        <f>0.7582*H667*G667</f>
        <v>4.9050282641199994</v>
      </c>
      <c r="L667" s="203"/>
      <c r="M667" s="203"/>
      <c r="N667" s="203"/>
      <c r="O667" s="203"/>
      <c r="P667" s="203"/>
      <c r="Q667" s="203"/>
    </row>
    <row r="668" spans="1:17" s="25" customFormat="1" x14ac:dyDescent="0.25">
      <c r="A668" s="196" t="s">
        <v>22</v>
      </c>
      <c r="B668" s="197" t="s">
        <v>62</v>
      </c>
      <c r="C668" s="197">
        <v>3148</v>
      </c>
      <c r="D668" s="197"/>
      <c r="E668" s="198" t="s">
        <v>439</v>
      </c>
      <c r="F668" s="197" t="s">
        <v>1215</v>
      </c>
      <c r="G668" s="199">
        <v>9.3299999999999998E-3</v>
      </c>
      <c r="H668" s="199">
        <v>18.989999999999998</v>
      </c>
      <c r="I668" s="199" t="s">
        <v>1193</v>
      </c>
      <c r="J668" s="199">
        <f t="shared" ref="J668:J669" si="61">H668*G668</f>
        <v>0.17717669999999999</v>
      </c>
      <c r="K668" s="199"/>
      <c r="L668" s="199"/>
      <c r="M668" s="199"/>
      <c r="N668" s="199"/>
      <c r="O668" s="199"/>
      <c r="P668" s="199"/>
      <c r="Q668" s="199"/>
    </row>
    <row r="669" spans="1:17" s="25" customFormat="1" x14ac:dyDescent="0.25">
      <c r="A669" s="200" t="s">
        <v>22</v>
      </c>
      <c r="B669" s="201" t="s">
        <v>62</v>
      </c>
      <c r="C669" s="201">
        <v>11825</v>
      </c>
      <c r="D669" s="201"/>
      <c r="E669" s="202" t="s">
        <v>524</v>
      </c>
      <c r="F669" s="201" t="s">
        <v>1215</v>
      </c>
      <c r="G669" s="203">
        <v>1</v>
      </c>
      <c r="H669" s="199">
        <v>26.58</v>
      </c>
      <c r="I669" s="203" t="s">
        <v>1193</v>
      </c>
      <c r="J669" s="203">
        <f t="shared" si="61"/>
        <v>26.58</v>
      </c>
      <c r="K669" s="203"/>
      <c r="L669" s="203"/>
      <c r="M669" s="203"/>
      <c r="N669" s="203"/>
      <c r="O669" s="203"/>
      <c r="P669" s="203"/>
      <c r="Q669" s="203"/>
    </row>
    <row r="670" spans="1:17" s="25" customFormat="1" x14ac:dyDescent="0.25">
      <c r="A670" s="159"/>
      <c r="B670" s="160"/>
      <c r="C670" s="160"/>
      <c r="D670" s="160"/>
      <c r="E670" s="161"/>
      <c r="F670" s="160"/>
      <c r="G670" s="162"/>
      <c r="H670" s="162"/>
      <c r="I670" s="162" t="s">
        <v>1193</v>
      </c>
      <c r="J670" s="162"/>
      <c r="K670" s="162"/>
      <c r="L670" s="162"/>
      <c r="M670" s="162"/>
      <c r="N670" s="162"/>
      <c r="O670" s="162"/>
      <c r="P670" s="162"/>
      <c r="Q670" s="162"/>
    </row>
    <row r="671" spans="1:17" s="25" customFormat="1" x14ac:dyDescent="0.25">
      <c r="A671" s="149" t="s">
        <v>22</v>
      </c>
      <c r="B671" s="148"/>
      <c r="C671" s="148">
        <v>86887</v>
      </c>
      <c r="D671" s="143" t="s">
        <v>525</v>
      </c>
      <c r="E671" s="144" t="s">
        <v>526</v>
      </c>
      <c r="F671" s="143" t="s">
        <v>1215</v>
      </c>
      <c r="G671" s="146"/>
      <c r="H671" s="146"/>
      <c r="I671" s="146">
        <v>1</v>
      </c>
      <c r="J671" s="146">
        <f>SUM(J672:J675)</f>
        <v>51.177623425</v>
      </c>
      <c r="K671" s="146">
        <f>SUM(K672:K675)</f>
        <v>3.3904102699999994</v>
      </c>
      <c r="L671" s="146">
        <f>J671+K671</f>
        <v>54.568033694999997</v>
      </c>
      <c r="M671" s="146">
        <f>J671*I671</f>
        <v>51.177623425</v>
      </c>
      <c r="N671" s="146">
        <f>K671*I671</f>
        <v>3.3904102699999994</v>
      </c>
      <c r="O671" s="146">
        <f>M671+N671</f>
        <v>54.568033694999997</v>
      </c>
      <c r="P671" s="146">
        <f>O671*$P$1</f>
        <v>14.002157446137</v>
      </c>
      <c r="Q671" s="146">
        <f>P671+O671</f>
        <v>68.570191141137002</v>
      </c>
    </row>
    <row r="672" spans="1:17" s="25" customFormat="1" x14ac:dyDescent="0.25">
      <c r="A672" s="196" t="s">
        <v>22</v>
      </c>
      <c r="B672" s="197" t="s">
        <v>27</v>
      </c>
      <c r="C672" s="197">
        <v>88316</v>
      </c>
      <c r="D672" s="197"/>
      <c r="E672" s="243" t="s">
        <v>30</v>
      </c>
      <c r="F672" s="197" t="s">
        <v>29</v>
      </c>
      <c r="G672" s="199">
        <v>4.8000000000000001E-2</v>
      </c>
      <c r="H672" s="203">
        <v>18.899999999999999</v>
      </c>
      <c r="I672" s="199" t="s">
        <v>1193</v>
      </c>
      <c r="J672" s="199">
        <f>0.3242*H672*G672</f>
        <v>0.29411423999999997</v>
      </c>
      <c r="K672" s="199">
        <f>0.6758*H672*G672</f>
        <v>0.61308575999999992</v>
      </c>
      <c r="L672" s="199"/>
      <c r="M672" s="199"/>
      <c r="N672" s="199"/>
      <c r="O672" s="199"/>
      <c r="P672" s="199"/>
      <c r="Q672" s="199"/>
    </row>
    <row r="673" spans="1:17" s="25" customFormat="1" x14ac:dyDescent="0.25">
      <c r="A673" s="200" t="s">
        <v>22</v>
      </c>
      <c r="B673" s="201" t="s">
        <v>27</v>
      </c>
      <c r="C673" s="201">
        <v>88267</v>
      </c>
      <c r="D673" s="201"/>
      <c r="E673" s="244" t="s">
        <v>514</v>
      </c>
      <c r="F673" s="201" t="s">
        <v>29</v>
      </c>
      <c r="G673" s="203">
        <v>0.1525</v>
      </c>
      <c r="H673" s="203">
        <v>24.02</v>
      </c>
      <c r="I673" s="203" t="s">
        <v>1193</v>
      </c>
      <c r="J673" s="203">
        <f>0.2417*H673*G673</f>
        <v>0.88535918499999988</v>
      </c>
      <c r="K673" s="203">
        <f>0.7582*H673*G673</f>
        <v>2.7773245099999997</v>
      </c>
      <c r="L673" s="203"/>
      <c r="M673" s="203"/>
      <c r="N673" s="203"/>
      <c r="O673" s="203"/>
      <c r="P673" s="203"/>
      <c r="Q673" s="203"/>
    </row>
    <row r="674" spans="1:17" s="25" customFormat="1" x14ac:dyDescent="0.25">
      <c r="A674" s="196" t="s">
        <v>22</v>
      </c>
      <c r="B674" s="197" t="s">
        <v>62</v>
      </c>
      <c r="C674" s="197">
        <v>3146</v>
      </c>
      <c r="D674" s="197"/>
      <c r="E674" s="243" t="s">
        <v>439</v>
      </c>
      <c r="F674" s="197" t="s">
        <v>1215</v>
      </c>
      <c r="G674" s="197">
        <v>2.1000000000000001E-2</v>
      </c>
      <c r="H674" s="199">
        <v>5.15</v>
      </c>
      <c r="I674" s="199" t="s">
        <v>1193</v>
      </c>
      <c r="J674" s="199">
        <f t="shared" ref="J674:J675" si="62">G674*H674</f>
        <v>0.10815000000000001</v>
      </c>
      <c r="K674" s="199"/>
      <c r="L674" s="199"/>
      <c r="M674" s="199"/>
      <c r="N674" s="199"/>
      <c r="O674" s="199"/>
      <c r="P674" s="199"/>
      <c r="Q674" s="199"/>
    </row>
    <row r="675" spans="1:17" s="25" customFormat="1" x14ac:dyDescent="0.25">
      <c r="A675" s="200" t="s">
        <v>22</v>
      </c>
      <c r="B675" s="201" t="s">
        <v>62</v>
      </c>
      <c r="C675" s="201">
        <v>11684</v>
      </c>
      <c r="D675" s="201"/>
      <c r="E675" s="244" t="s">
        <v>526</v>
      </c>
      <c r="F675" s="201" t="s">
        <v>1215</v>
      </c>
      <c r="G675" s="201">
        <v>1</v>
      </c>
      <c r="H675" s="199">
        <v>49.89</v>
      </c>
      <c r="I675" s="203" t="s">
        <v>1193</v>
      </c>
      <c r="J675" s="203">
        <f t="shared" si="62"/>
        <v>49.89</v>
      </c>
      <c r="K675" s="203"/>
      <c r="L675" s="203"/>
      <c r="M675" s="203"/>
      <c r="N675" s="203"/>
      <c r="O675" s="203"/>
      <c r="P675" s="203"/>
      <c r="Q675" s="203"/>
    </row>
    <row r="676" spans="1:17" s="25" customFormat="1" x14ac:dyDescent="0.25">
      <c r="A676" s="159"/>
      <c r="B676" s="160"/>
      <c r="C676" s="160"/>
      <c r="D676" s="160"/>
      <c r="E676" s="161"/>
      <c r="F676" s="160"/>
      <c r="G676" s="162"/>
      <c r="H676" s="162"/>
      <c r="I676" s="162" t="s">
        <v>1193</v>
      </c>
      <c r="J676" s="162"/>
      <c r="K676" s="162"/>
      <c r="L676" s="162"/>
      <c r="M676" s="162"/>
      <c r="N676" s="162"/>
      <c r="O676" s="162"/>
      <c r="P676" s="162"/>
      <c r="Q676" s="162"/>
    </row>
    <row r="677" spans="1:17" s="25" customFormat="1" x14ac:dyDescent="0.25">
      <c r="A677" s="149" t="s">
        <v>22</v>
      </c>
      <c r="B677" s="148"/>
      <c r="C677" s="148">
        <v>86883</v>
      </c>
      <c r="D677" s="143" t="s">
        <v>527</v>
      </c>
      <c r="E677" s="144" t="s">
        <v>528</v>
      </c>
      <c r="F677" s="143" t="s">
        <v>1215</v>
      </c>
      <c r="G677" s="146"/>
      <c r="H677" s="146"/>
      <c r="I677" s="146">
        <v>1</v>
      </c>
      <c r="J677" s="146">
        <f>SUM(J678:J681)</f>
        <v>9.0580643809999994</v>
      </c>
      <c r="K677" s="146">
        <f>SUM(K678:K681)</f>
        <v>1.8786626499999999</v>
      </c>
      <c r="L677" s="146">
        <f>J677+K677</f>
        <v>10.936727031</v>
      </c>
      <c r="M677" s="146">
        <f>J677*I677</f>
        <v>9.0580643809999994</v>
      </c>
      <c r="N677" s="146">
        <f>K677*I677</f>
        <v>1.8786626499999999</v>
      </c>
      <c r="O677" s="146">
        <f>M677+N677</f>
        <v>10.936727031</v>
      </c>
      <c r="P677" s="146">
        <f>O677*$P$1</f>
        <v>2.8063641561545998</v>
      </c>
      <c r="Q677" s="146">
        <f>P677+O677</f>
        <v>13.743091187154601</v>
      </c>
    </row>
    <row r="678" spans="1:17" s="25" customFormat="1" x14ac:dyDescent="0.25">
      <c r="A678" s="196" t="s">
        <v>22</v>
      </c>
      <c r="B678" s="197" t="s">
        <v>27</v>
      </c>
      <c r="C678" s="197">
        <v>88316</v>
      </c>
      <c r="D678" s="197"/>
      <c r="E678" s="243" t="s">
        <v>30</v>
      </c>
      <c r="F678" s="197" t="s">
        <v>29</v>
      </c>
      <c r="G678" s="199">
        <v>2.6599999999999999E-2</v>
      </c>
      <c r="H678" s="203">
        <v>18.899999999999999</v>
      </c>
      <c r="I678" s="199" t="s">
        <v>1193</v>
      </c>
      <c r="J678" s="199">
        <f>0.3242*H678*G678</f>
        <v>0.16298830799999997</v>
      </c>
      <c r="K678" s="199">
        <f>0.6758*H678*G678</f>
        <v>0.33975169199999994</v>
      </c>
      <c r="L678" s="199"/>
      <c r="M678" s="199"/>
      <c r="N678" s="199"/>
      <c r="O678" s="199"/>
      <c r="P678" s="199"/>
      <c r="Q678" s="199"/>
    </row>
    <row r="679" spans="1:17" s="25" customFormat="1" x14ac:dyDescent="0.25">
      <c r="A679" s="200" t="s">
        <v>22</v>
      </c>
      <c r="B679" s="201" t="s">
        <v>27</v>
      </c>
      <c r="C679" s="201">
        <v>88267</v>
      </c>
      <c r="D679" s="201"/>
      <c r="E679" s="244" t="s">
        <v>514</v>
      </c>
      <c r="F679" s="201" t="s">
        <v>29</v>
      </c>
      <c r="G679" s="203">
        <v>8.4500000000000006E-2</v>
      </c>
      <c r="H679" s="203">
        <v>24.02</v>
      </c>
      <c r="I679" s="203" t="s">
        <v>1193</v>
      </c>
      <c r="J679" s="203">
        <f>0.2417*H679*G679</f>
        <v>0.490576073</v>
      </c>
      <c r="K679" s="203">
        <f>0.7582*H679*G679</f>
        <v>1.538910958</v>
      </c>
      <c r="L679" s="203"/>
      <c r="M679" s="203"/>
      <c r="N679" s="203"/>
      <c r="O679" s="203"/>
      <c r="P679" s="203"/>
      <c r="Q679" s="203"/>
    </row>
    <row r="680" spans="1:17" s="25" customFormat="1" x14ac:dyDescent="0.25">
      <c r="A680" s="196" t="s">
        <v>22</v>
      </c>
      <c r="B680" s="197" t="s">
        <v>62</v>
      </c>
      <c r="C680" s="197">
        <v>3146</v>
      </c>
      <c r="D680" s="197"/>
      <c r="E680" s="243" t="s">
        <v>439</v>
      </c>
      <c r="F680" s="197" t="s">
        <v>1215</v>
      </c>
      <c r="G680" s="197">
        <v>0.03</v>
      </c>
      <c r="H680" s="199">
        <v>5.15</v>
      </c>
      <c r="I680" s="199" t="s">
        <v>1193</v>
      </c>
      <c r="J680" s="199">
        <f t="shared" ref="J680:J681" si="63">H680*G680</f>
        <v>0.1545</v>
      </c>
      <c r="K680" s="199"/>
      <c r="L680" s="199"/>
      <c r="M680" s="199"/>
      <c r="N680" s="199"/>
      <c r="O680" s="199"/>
      <c r="P680" s="199"/>
      <c r="Q680" s="199"/>
    </row>
    <row r="681" spans="1:17" s="25" customFormat="1" x14ac:dyDescent="0.25">
      <c r="A681" s="200" t="s">
        <v>22</v>
      </c>
      <c r="B681" s="201" t="s">
        <v>62</v>
      </c>
      <c r="C681" s="201">
        <v>6148</v>
      </c>
      <c r="D681" s="201"/>
      <c r="E681" s="244" t="s">
        <v>528</v>
      </c>
      <c r="F681" s="201" t="s">
        <v>1215</v>
      </c>
      <c r="G681" s="201">
        <v>1</v>
      </c>
      <c r="H681" s="199">
        <v>8.25</v>
      </c>
      <c r="I681" s="203" t="s">
        <v>1193</v>
      </c>
      <c r="J681" s="203">
        <f t="shared" si="63"/>
        <v>8.25</v>
      </c>
      <c r="K681" s="203"/>
      <c r="L681" s="203"/>
      <c r="M681" s="203"/>
      <c r="N681" s="203"/>
      <c r="O681" s="203"/>
      <c r="P681" s="203"/>
      <c r="Q681" s="203"/>
    </row>
    <row r="682" spans="1:17" s="25" customFormat="1" x14ac:dyDescent="0.25">
      <c r="A682" s="159"/>
      <c r="B682" s="160"/>
      <c r="C682" s="160"/>
      <c r="D682" s="160"/>
      <c r="E682" s="161"/>
      <c r="F682" s="160"/>
      <c r="G682" s="162"/>
      <c r="H682" s="162"/>
      <c r="I682" s="162" t="s">
        <v>1193</v>
      </c>
      <c r="J682" s="162"/>
      <c r="K682" s="162"/>
      <c r="L682" s="162"/>
      <c r="M682" s="162"/>
      <c r="N682" s="162"/>
      <c r="O682" s="162"/>
      <c r="P682" s="162"/>
      <c r="Q682" s="162"/>
    </row>
    <row r="683" spans="1:17" s="25" customFormat="1" ht="30" x14ac:dyDescent="0.25">
      <c r="A683" s="149" t="s">
        <v>183</v>
      </c>
      <c r="B683" s="148"/>
      <c r="C683" s="148"/>
      <c r="D683" s="143" t="s">
        <v>529</v>
      </c>
      <c r="E683" s="144" t="s">
        <v>530</v>
      </c>
      <c r="F683" s="143" t="s">
        <v>1215</v>
      </c>
      <c r="G683" s="146"/>
      <c r="H683" s="146"/>
      <c r="I683" s="146">
        <v>1</v>
      </c>
      <c r="J683" s="146">
        <f>SUM(J684:J686)</f>
        <v>50.372878909199997</v>
      </c>
      <c r="K683" s="146">
        <f>SUM(K684:K686)</f>
        <v>1.8299427609999999</v>
      </c>
      <c r="L683" s="146">
        <f>J683+K683</f>
        <v>52.202821670199995</v>
      </c>
      <c r="M683" s="146">
        <f>J683*I683</f>
        <v>50.372878909199997</v>
      </c>
      <c r="N683" s="146">
        <f>K683*I683</f>
        <v>1.8299427609999999</v>
      </c>
      <c r="O683" s="146">
        <f>M683+N683</f>
        <v>52.202821670199995</v>
      </c>
      <c r="P683" s="146">
        <f>O683*$P$1</f>
        <v>13.395244040573319</v>
      </c>
      <c r="Q683" s="146">
        <f>P683+O683</f>
        <v>65.598065710773312</v>
      </c>
    </row>
    <row r="684" spans="1:17" s="25" customFormat="1" x14ac:dyDescent="0.25">
      <c r="A684" s="196" t="s">
        <v>22</v>
      </c>
      <c r="B684" s="197" t="s">
        <v>27</v>
      </c>
      <c r="C684" s="197">
        <v>88248</v>
      </c>
      <c r="D684" s="197"/>
      <c r="E684" s="243" t="s">
        <v>513</v>
      </c>
      <c r="F684" s="197" t="s">
        <v>29</v>
      </c>
      <c r="G684" s="199">
        <v>5.8999999999999997E-2</v>
      </c>
      <c r="H684" s="199">
        <v>18.57</v>
      </c>
      <c r="I684" s="199" t="s">
        <v>1193</v>
      </c>
      <c r="J684" s="199">
        <f>0.31064*H684*G684</f>
        <v>0.34034650319999998</v>
      </c>
      <c r="K684" s="199">
        <f>0.6895*H684*G684</f>
        <v>0.75543688499999995</v>
      </c>
      <c r="L684" s="199"/>
      <c r="M684" s="199"/>
      <c r="N684" s="199"/>
      <c r="O684" s="199"/>
      <c r="P684" s="199"/>
      <c r="Q684" s="199"/>
    </row>
    <row r="685" spans="1:17" s="25" customFormat="1" x14ac:dyDescent="0.25">
      <c r="A685" s="200" t="s">
        <v>22</v>
      </c>
      <c r="B685" s="201" t="s">
        <v>27</v>
      </c>
      <c r="C685" s="201">
        <v>88267</v>
      </c>
      <c r="D685" s="201"/>
      <c r="E685" s="244" t="s">
        <v>514</v>
      </c>
      <c r="F685" s="201" t="s">
        <v>29</v>
      </c>
      <c r="G685" s="203">
        <v>5.8999999999999997E-2</v>
      </c>
      <c r="H685" s="203">
        <v>24.02</v>
      </c>
      <c r="I685" s="203" t="s">
        <v>1193</v>
      </c>
      <c r="J685" s="203">
        <f>0.2417*H685*G685</f>
        <v>0.34253240599999996</v>
      </c>
      <c r="K685" s="203">
        <f>0.7582*H685*G685</f>
        <v>1.0745058759999999</v>
      </c>
      <c r="L685" s="203"/>
      <c r="M685" s="203"/>
      <c r="N685" s="203"/>
      <c r="O685" s="203"/>
      <c r="P685" s="203"/>
      <c r="Q685" s="203"/>
    </row>
    <row r="686" spans="1:17" s="25" customFormat="1" x14ac:dyDescent="0.25">
      <c r="A686" s="196" t="s">
        <v>22</v>
      </c>
      <c r="B686" s="197" t="s">
        <v>62</v>
      </c>
      <c r="C686" s="197">
        <v>38643</v>
      </c>
      <c r="D686" s="197"/>
      <c r="E686" s="198" t="s">
        <v>531</v>
      </c>
      <c r="F686" s="197" t="s">
        <v>1215</v>
      </c>
      <c r="G686" s="199">
        <v>1</v>
      </c>
      <c r="H686" s="199">
        <v>49.69</v>
      </c>
      <c r="I686" s="199" t="s">
        <v>1193</v>
      </c>
      <c r="J686" s="199">
        <f>H686*G686</f>
        <v>49.69</v>
      </c>
      <c r="K686" s="199"/>
      <c r="L686" s="199"/>
      <c r="M686" s="199"/>
      <c r="N686" s="199"/>
      <c r="O686" s="199"/>
      <c r="P686" s="199"/>
      <c r="Q686" s="199"/>
    </row>
    <row r="687" spans="1:17" s="25" customFormat="1" x14ac:dyDescent="0.25">
      <c r="A687" s="163"/>
      <c r="B687" s="101"/>
      <c r="C687" s="101"/>
      <c r="D687" s="101"/>
      <c r="E687" s="102"/>
      <c r="F687" s="101"/>
      <c r="G687" s="96"/>
      <c r="H687" s="96"/>
      <c r="I687" s="96" t="s">
        <v>1193</v>
      </c>
      <c r="J687" s="96"/>
      <c r="K687" s="96"/>
      <c r="L687" s="96"/>
      <c r="M687" s="96"/>
      <c r="N687" s="96"/>
      <c r="O687" s="96"/>
      <c r="P687" s="96"/>
      <c r="Q687" s="96"/>
    </row>
    <row r="688" spans="1:17" s="25" customFormat="1" x14ac:dyDescent="0.25">
      <c r="A688" s="149" t="s">
        <v>22</v>
      </c>
      <c r="B688" s="148"/>
      <c r="C688" s="148">
        <v>89495</v>
      </c>
      <c r="D688" s="143" t="s">
        <v>532</v>
      </c>
      <c r="E688" s="144" t="s">
        <v>533</v>
      </c>
      <c r="F688" s="143" t="s">
        <v>1215</v>
      </c>
      <c r="G688" s="146"/>
      <c r="H688" s="146"/>
      <c r="I688" s="146">
        <v>1</v>
      </c>
      <c r="J688" s="146">
        <f>SUM(J689:J694)</f>
        <v>7.9178246580000016</v>
      </c>
      <c r="K688" s="146">
        <f>SUM(K689:K694)</f>
        <v>1.0855592650000001</v>
      </c>
      <c r="L688" s="146">
        <f>J688+K688</f>
        <v>9.0033839230000012</v>
      </c>
      <c r="M688" s="146">
        <f>J688*I688</f>
        <v>7.9178246580000016</v>
      </c>
      <c r="N688" s="146">
        <f>K688*I688</f>
        <v>1.0855592650000001</v>
      </c>
      <c r="O688" s="146">
        <f>M688+N688</f>
        <v>9.0033839230000012</v>
      </c>
      <c r="P688" s="146">
        <f>O688*$P$1</f>
        <v>2.3102683146418004</v>
      </c>
      <c r="Q688" s="146">
        <f>P688+O688</f>
        <v>11.313652237641801</v>
      </c>
    </row>
    <row r="689" spans="1:17" s="25" customFormat="1" x14ac:dyDescent="0.25">
      <c r="A689" s="200" t="s">
        <v>22</v>
      </c>
      <c r="B689" s="201" t="s">
        <v>27</v>
      </c>
      <c r="C689" s="201">
        <v>88248</v>
      </c>
      <c r="D689" s="201"/>
      <c r="E689" s="244" t="s">
        <v>513</v>
      </c>
      <c r="F689" s="201" t="s">
        <v>29</v>
      </c>
      <c r="G689" s="203">
        <v>3.5000000000000003E-2</v>
      </c>
      <c r="H689" s="203">
        <v>18.57</v>
      </c>
      <c r="I689" s="203" t="s">
        <v>1193</v>
      </c>
      <c r="J689" s="203">
        <f>0.31064*H689*G689</f>
        <v>0.20190046800000003</v>
      </c>
      <c r="K689" s="203">
        <f>0.6895*H689*G689</f>
        <v>0.44814052500000001</v>
      </c>
      <c r="L689" s="203"/>
      <c r="M689" s="203"/>
      <c r="N689" s="203"/>
      <c r="O689" s="203"/>
      <c r="P689" s="203"/>
      <c r="Q689" s="203"/>
    </row>
    <row r="690" spans="1:17" s="25" customFormat="1" x14ac:dyDescent="0.25">
      <c r="A690" s="196" t="s">
        <v>22</v>
      </c>
      <c r="B690" s="197" t="s">
        <v>27</v>
      </c>
      <c r="C690" s="197">
        <v>88267</v>
      </c>
      <c r="D690" s="197"/>
      <c r="E690" s="243" t="s">
        <v>514</v>
      </c>
      <c r="F690" s="197" t="s">
        <v>29</v>
      </c>
      <c r="G690" s="199">
        <v>3.5000000000000003E-2</v>
      </c>
      <c r="H690" s="199">
        <v>24.02</v>
      </c>
      <c r="I690" s="199" t="s">
        <v>1193</v>
      </c>
      <c r="J690" s="199">
        <f>0.2417*H690*G690</f>
        <v>0.20319719</v>
      </c>
      <c r="K690" s="199">
        <f>0.7582*H690*G690</f>
        <v>0.63741873999999998</v>
      </c>
      <c r="L690" s="199"/>
      <c r="M690" s="199"/>
      <c r="N690" s="199"/>
      <c r="O690" s="199"/>
      <c r="P690" s="199"/>
      <c r="Q690" s="199"/>
    </row>
    <row r="691" spans="1:17" s="25" customFormat="1" x14ac:dyDescent="0.25">
      <c r="A691" s="200" t="s">
        <v>22</v>
      </c>
      <c r="B691" s="201" t="s">
        <v>62</v>
      </c>
      <c r="C691" s="201">
        <v>122</v>
      </c>
      <c r="D691" s="201"/>
      <c r="E691" s="202" t="s">
        <v>534</v>
      </c>
      <c r="F691" s="201" t="s">
        <v>1215</v>
      </c>
      <c r="G691" s="201">
        <v>4.7000000000000002E-3</v>
      </c>
      <c r="H691" s="199">
        <v>71.36</v>
      </c>
      <c r="I691" s="203" t="s">
        <v>1193</v>
      </c>
      <c r="J691" s="203">
        <f t="shared" ref="J691:J694" si="64">G691*H691</f>
        <v>0.33539200000000002</v>
      </c>
      <c r="K691" s="203"/>
      <c r="L691" s="203"/>
      <c r="M691" s="203"/>
      <c r="N691" s="203"/>
      <c r="O691" s="203"/>
      <c r="P691" s="203"/>
      <c r="Q691" s="203"/>
    </row>
    <row r="692" spans="1:17" s="25" customFormat="1" x14ac:dyDescent="0.25">
      <c r="A692" s="196" t="s">
        <v>22</v>
      </c>
      <c r="B692" s="197" t="s">
        <v>62</v>
      </c>
      <c r="C692" s="197">
        <v>11741</v>
      </c>
      <c r="D692" s="197"/>
      <c r="E692" s="198" t="s">
        <v>533</v>
      </c>
      <c r="F692" s="197" t="s">
        <v>1215</v>
      </c>
      <c r="G692" s="197">
        <v>1</v>
      </c>
      <c r="H692" s="199">
        <v>6.69</v>
      </c>
      <c r="I692" s="199" t="s">
        <v>1193</v>
      </c>
      <c r="J692" s="199">
        <f t="shared" si="64"/>
        <v>6.69</v>
      </c>
      <c r="K692" s="199"/>
      <c r="L692" s="199"/>
      <c r="M692" s="199"/>
      <c r="N692" s="199"/>
      <c r="O692" s="199"/>
      <c r="P692" s="199"/>
      <c r="Q692" s="199"/>
    </row>
    <row r="693" spans="1:17" s="25" customFormat="1" x14ac:dyDescent="0.25">
      <c r="A693" s="200" t="s">
        <v>22</v>
      </c>
      <c r="B693" s="201" t="s">
        <v>62</v>
      </c>
      <c r="C693" s="201">
        <v>20083</v>
      </c>
      <c r="D693" s="201"/>
      <c r="E693" s="202" t="s">
        <v>535</v>
      </c>
      <c r="F693" s="201" t="s">
        <v>1215</v>
      </c>
      <c r="G693" s="201">
        <v>7.4999999999999997E-3</v>
      </c>
      <c r="H693" s="199">
        <v>61.97</v>
      </c>
      <c r="I693" s="203" t="s">
        <v>1193</v>
      </c>
      <c r="J693" s="203">
        <f t="shared" si="64"/>
        <v>0.46477499999999999</v>
      </c>
      <c r="K693" s="203"/>
      <c r="L693" s="203"/>
      <c r="M693" s="203"/>
      <c r="N693" s="203"/>
      <c r="O693" s="203"/>
      <c r="P693" s="203"/>
      <c r="Q693" s="203"/>
    </row>
    <row r="694" spans="1:17" s="25" customFormat="1" x14ac:dyDescent="0.25">
      <c r="A694" s="196" t="s">
        <v>22</v>
      </c>
      <c r="B694" s="197" t="s">
        <v>62</v>
      </c>
      <c r="C694" s="197">
        <v>38383</v>
      </c>
      <c r="D694" s="197"/>
      <c r="E694" s="198" t="s">
        <v>536</v>
      </c>
      <c r="F694" s="197" t="s">
        <v>1215</v>
      </c>
      <c r="G694" s="197">
        <v>1.2E-2</v>
      </c>
      <c r="H694" s="199">
        <v>1.88</v>
      </c>
      <c r="I694" s="199" t="s">
        <v>1193</v>
      </c>
      <c r="J694" s="199">
        <f t="shared" si="64"/>
        <v>2.256E-2</v>
      </c>
      <c r="K694" s="199"/>
      <c r="L694" s="199"/>
      <c r="M694" s="199"/>
      <c r="N694" s="199"/>
      <c r="O694" s="199"/>
      <c r="P694" s="199"/>
      <c r="Q694" s="199"/>
    </row>
    <row r="695" spans="1:17" s="25" customFormat="1" x14ac:dyDescent="0.25">
      <c r="A695" s="163"/>
      <c r="B695" s="101"/>
      <c r="C695" s="101"/>
      <c r="D695" s="101"/>
      <c r="E695" s="102"/>
      <c r="F695" s="101"/>
      <c r="G695" s="96"/>
      <c r="H695" s="96"/>
      <c r="I695" s="96" t="s">
        <v>1193</v>
      </c>
      <c r="J695" s="96"/>
      <c r="K695" s="96"/>
      <c r="L695" s="96"/>
      <c r="M695" s="96"/>
      <c r="N695" s="96"/>
      <c r="O695" s="96"/>
      <c r="P695" s="96"/>
      <c r="Q695" s="96"/>
    </row>
    <row r="696" spans="1:17" s="25" customFormat="1" x14ac:dyDescent="0.25">
      <c r="A696" s="149" t="s">
        <v>22</v>
      </c>
      <c r="B696" s="148"/>
      <c r="C696" s="148">
        <v>86915</v>
      </c>
      <c r="D696" s="143" t="s">
        <v>537</v>
      </c>
      <c r="E696" s="144" t="s">
        <v>538</v>
      </c>
      <c r="F696" s="143" t="s">
        <v>1215</v>
      </c>
      <c r="G696" s="146"/>
      <c r="H696" s="146"/>
      <c r="I696" s="146">
        <v>1</v>
      </c>
      <c r="J696" s="146">
        <f>SUM(J697:J700)</f>
        <v>78.083385072799999</v>
      </c>
      <c r="K696" s="146">
        <f>SUM(K697:K700)</f>
        <v>2.1432045089999998</v>
      </c>
      <c r="L696" s="146">
        <f>J696+K696</f>
        <v>80.226589581799999</v>
      </c>
      <c r="M696" s="146">
        <f>J696*I696</f>
        <v>78.083385072799999</v>
      </c>
      <c r="N696" s="146">
        <f>K696*I696</f>
        <v>2.1432045089999998</v>
      </c>
      <c r="O696" s="146">
        <f>M696+N696</f>
        <v>80.226589581799999</v>
      </c>
      <c r="P696" s="146">
        <f>O696*$P$1</f>
        <v>20.586142886689878</v>
      </c>
      <c r="Q696" s="146">
        <f>P696+O696</f>
        <v>100.81273246848988</v>
      </c>
    </row>
    <row r="697" spans="1:17" s="25" customFormat="1" x14ac:dyDescent="0.25">
      <c r="A697" s="200" t="s">
        <v>22</v>
      </c>
      <c r="B697" s="201" t="s">
        <v>27</v>
      </c>
      <c r="C697" s="239">
        <v>88316</v>
      </c>
      <c r="D697" s="239"/>
      <c r="E697" s="237" t="s">
        <v>30</v>
      </c>
      <c r="F697" s="239" t="s">
        <v>29</v>
      </c>
      <c r="G697" s="225">
        <v>3.0300000000000001E-2</v>
      </c>
      <c r="H697" s="203">
        <v>18.899999999999999</v>
      </c>
      <c r="I697" s="203" t="s">
        <v>1193</v>
      </c>
      <c r="J697" s="203">
        <f>0.31064*H697*G697</f>
        <v>0.17789420879999998</v>
      </c>
      <c r="K697" s="203">
        <f>0.6895*H697*G697</f>
        <v>0.39485596499999998</v>
      </c>
      <c r="L697" s="203"/>
      <c r="M697" s="203"/>
      <c r="N697" s="203"/>
      <c r="O697" s="203"/>
      <c r="P697" s="203"/>
      <c r="Q697" s="203"/>
    </row>
    <row r="698" spans="1:17" s="25" customFormat="1" x14ac:dyDescent="0.25">
      <c r="A698" s="196" t="s">
        <v>22</v>
      </c>
      <c r="B698" s="197" t="s">
        <v>27</v>
      </c>
      <c r="C698" s="197">
        <v>88267</v>
      </c>
      <c r="D698" s="197"/>
      <c r="E698" s="243" t="s">
        <v>514</v>
      </c>
      <c r="F698" s="197" t="s">
        <v>29</v>
      </c>
      <c r="G698" s="199">
        <v>9.6000000000000002E-2</v>
      </c>
      <c r="H698" s="199">
        <v>24.02</v>
      </c>
      <c r="I698" s="199" t="s">
        <v>1193</v>
      </c>
      <c r="J698" s="199">
        <f>0.2417*H698*G698</f>
        <v>0.55734086399999994</v>
      </c>
      <c r="K698" s="199">
        <f>0.7582*H698*G698</f>
        <v>1.7483485439999999</v>
      </c>
      <c r="L698" s="199"/>
      <c r="M698" s="199"/>
      <c r="N698" s="199"/>
      <c r="O698" s="199"/>
      <c r="P698" s="199"/>
      <c r="Q698" s="199"/>
    </row>
    <row r="699" spans="1:17" s="25" customFormat="1" x14ac:dyDescent="0.25">
      <c r="A699" s="200" t="s">
        <v>22</v>
      </c>
      <c r="B699" s="201" t="s">
        <v>62</v>
      </c>
      <c r="C699" s="201">
        <v>3146</v>
      </c>
      <c r="D699" s="201"/>
      <c r="E699" s="202" t="s">
        <v>439</v>
      </c>
      <c r="F699" s="201" t="s">
        <v>39</v>
      </c>
      <c r="G699" s="203">
        <v>2.1000000000000001E-2</v>
      </c>
      <c r="H699" s="199">
        <v>5.15</v>
      </c>
      <c r="I699" s="203" t="s">
        <v>1193</v>
      </c>
      <c r="J699" s="203">
        <f t="shared" ref="J699:J700" si="65">H699*G699</f>
        <v>0.10815000000000001</v>
      </c>
      <c r="K699" s="203"/>
      <c r="L699" s="203"/>
      <c r="M699" s="203"/>
      <c r="N699" s="203"/>
      <c r="O699" s="203"/>
      <c r="P699" s="203"/>
      <c r="Q699" s="203"/>
    </row>
    <row r="700" spans="1:17" s="25" customFormat="1" x14ac:dyDescent="0.25">
      <c r="A700" s="196" t="s">
        <v>22</v>
      </c>
      <c r="B700" s="197" t="s">
        <v>62</v>
      </c>
      <c r="C700" s="197">
        <v>36791</v>
      </c>
      <c r="D700" s="197"/>
      <c r="E700" s="198" t="s">
        <v>442</v>
      </c>
      <c r="F700" s="197" t="s">
        <v>1215</v>
      </c>
      <c r="G700" s="199">
        <v>1</v>
      </c>
      <c r="H700" s="199">
        <v>77.239999999999995</v>
      </c>
      <c r="I700" s="199" t="s">
        <v>1193</v>
      </c>
      <c r="J700" s="199">
        <f t="shared" si="65"/>
        <v>77.239999999999995</v>
      </c>
      <c r="K700" s="199"/>
      <c r="L700" s="199"/>
      <c r="M700" s="199"/>
      <c r="N700" s="199"/>
      <c r="O700" s="199"/>
      <c r="P700" s="199"/>
      <c r="Q700" s="199"/>
    </row>
    <row r="701" spans="1:17" s="25" customFormat="1" x14ac:dyDescent="0.25">
      <c r="A701" s="163"/>
      <c r="B701" s="101"/>
      <c r="C701" s="101"/>
      <c r="D701" s="101"/>
      <c r="E701" s="102"/>
      <c r="F701" s="101"/>
      <c r="G701" s="96"/>
      <c r="H701" s="96"/>
      <c r="I701" s="96" t="s">
        <v>1193</v>
      </c>
      <c r="J701" s="96"/>
      <c r="K701" s="96"/>
      <c r="L701" s="96"/>
      <c r="M701" s="96"/>
      <c r="N701" s="96"/>
      <c r="O701" s="96"/>
      <c r="P701" s="96"/>
      <c r="Q701" s="96"/>
    </row>
    <row r="702" spans="1:17" s="25" customFormat="1" ht="15.75" x14ac:dyDescent="0.25">
      <c r="A702" s="136"/>
      <c r="B702" s="97"/>
      <c r="C702" s="97"/>
      <c r="D702" s="97">
        <v>11</v>
      </c>
      <c r="E702" s="98" t="s">
        <v>539</v>
      </c>
      <c r="F702" s="97"/>
      <c r="G702" s="97"/>
      <c r="H702" s="330"/>
      <c r="I702" s="97" t="s">
        <v>1193</v>
      </c>
      <c r="J702" s="330"/>
      <c r="K702" s="330"/>
      <c r="L702" s="330"/>
      <c r="M702" s="330"/>
      <c r="N702" s="330"/>
      <c r="O702" s="330"/>
      <c r="P702" s="330"/>
      <c r="Q702" s="330">
        <f>SUM(Q704:Q762)</f>
        <v>194.20590410461165</v>
      </c>
    </row>
    <row r="703" spans="1:17" s="25" customFormat="1" x14ac:dyDescent="0.25">
      <c r="A703" s="163"/>
      <c r="B703" s="101"/>
      <c r="C703" s="101"/>
      <c r="D703" s="101"/>
      <c r="E703" s="102"/>
      <c r="F703" s="101"/>
      <c r="G703" s="96"/>
      <c r="H703" s="96"/>
      <c r="I703" s="96" t="s">
        <v>1193</v>
      </c>
      <c r="J703" s="96"/>
      <c r="K703" s="96"/>
      <c r="L703" s="96"/>
      <c r="M703" s="96"/>
      <c r="N703" s="96"/>
      <c r="O703" s="96"/>
      <c r="P703" s="96"/>
      <c r="Q703" s="96"/>
    </row>
    <row r="704" spans="1:17" s="25" customFormat="1" ht="30" x14ac:dyDescent="0.25">
      <c r="A704" s="152" t="s">
        <v>22</v>
      </c>
      <c r="B704" s="153"/>
      <c r="C704" s="153">
        <v>88496</v>
      </c>
      <c r="D704" s="143" t="s">
        <v>540</v>
      </c>
      <c r="E704" s="158" t="s">
        <v>541</v>
      </c>
      <c r="F704" s="143" t="s">
        <v>33</v>
      </c>
      <c r="G704" s="146"/>
      <c r="H704" s="146"/>
      <c r="I704" s="146">
        <v>0.67</v>
      </c>
      <c r="J704" s="146">
        <f>SUM(J705:J708)</f>
        <v>11.450143860000001</v>
      </c>
      <c r="K704" s="146">
        <f>SUM(K705:K708)</f>
        <v>15.302547540000001</v>
      </c>
      <c r="L704" s="146">
        <f>J704+K704</f>
        <v>26.752691400000003</v>
      </c>
      <c r="M704" s="146">
        <f>J704*I704</f>
        <v>7.6715963862000009</v>
      </c>
      <c r="N704" s="146">
        <f>K704*I704</f>
        <v>10.252706851800001</v>
      </c>
      <c r="O704" s="146">
        <f>M704+N704</f>
        <v>17.924303238</v>
      </c>
      <c r="P704" s="146">
        <f>O704*$P$1</f>
        <v>4.5993762108708003</v>
      </c>
      <c r="Q704" s="146">
        <f>P704+O704</f>
        <v>22.523679448870801</v>
      </c>
    </row>
    <row r="705" spans="1:17" s="25" customFormat="1" x14ac:dyDescent="0.25">
      <c r="A705" s="200" t="s">
        <v>22</v>
      </c>
      <c r="B705" s="201" t="s">
        <v>27</v>
      </c>
      <c r="C705" s="239">
        <v>88316</v>
      </c>
      <c r="D705" s="239"/>
      <c r="E705" s="237" t="s">
        <v>30</v>
      </c>
      <c r="F705" s="239" t="s">
        <v>29</v>
      </c>
      <c r="G705" s="225">
        <v>0.247</v>
      </c>
      <c r="H705" s="203">
        <v>18.899999999999999</v>
      </c>
      <c r="I705" s="203" t="s">
        <v>1193</v>
      </c>
      <c r="J705" s="203">
        <f>0.3242*H705*G705</f>
        <v>1.51346286</v>
      </c>
      <c r="K705" s="203">
        <f>0.6758*H705*G705</f>
        <v>3.1548371399999997</v>
      </c>
      <c r="L705" s="203"/>
      <c r="M705" s="203"/>
      <c r="N705" s="203"/>
      <c r="O705" s="203"/>
      <c r="P705" s="203"/>
      <c r="Q705" s="203"/>
    </row>
    <row r="706" spans="1:17" s="25" customFormat="1" x14ac:dyDescent="0.25">
      <c r="A706" s="196" t="s">
        <v>22</v>
      </c>
      <c r="B706" s="197" t="s">
        <v>27</v>
      </c>
      <c r="C706" s="235">
        <v>88310</v>
      </c>
      <c r="D706" s="235"/>
      <c r="E706" s="238" t="s">
        <v>542</v>
      </c>
      <c r="F706" s="235" t="s">
        <v>29</v>
      </c>
      <c r="G706" s="241">
        <v>0.67200000000000004</v>
      </c>
      <c r="H706" s="199">
        <v>25.5</v>
      </c>
      <c r="I706" s="199" t="s">
        <v>1193</v>
      </c>
      <c r="J706" s="199">
        <f>0.291*H706*G706</f>
        <v>4.9865760000000003</v>
      </c>
      <c r="K706" s="199">
        <f>0.7089*H706*G706</f>
        <v>12.147710400000001</v>
      </c>
      <c r="L706" s="199"/>
      <c r="M706" s="199"/>
      <c r="N706" s="199"/>
      <c r="O706" s="199"/>
      <c r="P706" s="199"/>
      <c r="Q706" s="199"/>
    </row>
    <row r="707" spans="1:17" s="25" customFormat="1" x14ac:dyDescent="0.25">
      <c r="A707" s="200" t="s">
        <v>22</v>
      </c>
      <c r="B707" s="201" t="s">
        <v>62</v>
      </c>
      <c r="C707" s="239">
        <v>4047</v>
      </c>
      <c r="D707" s="239"/>
      <c r="E707" s="237" t="s">
        <v>543</v>
      </c>
      <c r="F707" s="239" t="s">
        <v>544</v>
      </c>
      <c r="G707" s="225">
        <v>0.2445</v>
      </c>
      <c r="H707" s="203">
        <v>19.89</v>
      </c>
      <c r="I707" s="203" t="s">
        <v>1193</v>
      </c>
      <c r="J707" s="203">
        <f t="shared" ref="J707:J708" si="66">H707*G707</f>
        <v>4.863105</v>
      </c>
      <c r="K707" s="203"/>
      <c r="L707" s="203"/>
      <c r="M707" s="203"/>
      <c r="N707" s="203"/>
      <c r="O707" s="203"/>
      <c r="P707" s="203"/>
      <c r="Q707" s="203"/>
    </row>
    <row r="708" spans="1:17" s="25" customFormat="1" x14ac:dyDescent="0.25">
      <c r="A708" s="196" t="s">
        <v>22</v>
      </c>
      <c r="B708" s="197" t="s">
        <v>62</v>
      </c>
      <c r="C708" s="235">
        <v>3767</v>
      </c>
      <c r="D708" s="235"/>
      <c r="E708" s="238" t="s">
        <v>545</v>
      </c>
      <c r="F708" s="235" t="s">
        <v>1215</v>
      </c>
      <c r="G708" s="241">
        <v>0.1</v>
      </c>
      <c r="H708" s="199">
        <v>0.87</v>
      </c>
      <c r="I708" s="199" t="s">
        <v>1193</v>
      </c>
      <c r="J708" s="199">
        <f t="shared" si="66"/>
        <v>8.7000000000000008E-2</v>
      </c>
      <c r="K708" s="199"/>
      <c r="L708" s="199"/>
      <c r="M708" s="199"/>
      <c r="N708" s="199"/>
      <c r="O708" s="199"/>
      <c r="P708" s="199"/>
      <c r="Q708" s="199"/>
    </row>
    <row r="709" spans="1:17" s="25" customFormat="1" x14ac:dyDescent="0.25">
      <c r="A709" s="163"/>
      <c r="B709" s="101"/>
      <c r="C709" s="101"/>
      <c r="D709" s="101"/>
      <c r="E709" s="102"/>
      <c r="F709" s="101"/>
      <c r="G709" s="96"/>
      <c r="H709" s="96"/>
      <c r="I709" s="96" t="s">
        <v>1193</v>
      </c>
      <c r="J709" s="96"/>
      <c r="K709" s="96"/>
      <c r="L709" s="96"/>
      <c r="M709" s="96"/>
      <c r="N709" s="96"/>
      <c r="O709" s="96"/>
      <c r="P709" s="96"/>
      <c r="Q709" s="96"/>
    </row>
    <row r="710" spans="1:17" s="25" customFormat="1" ht="37.9" customHeight="1" x14ac:dyDescent="0.25">
      <c r="A710" s="152" t="s">
        <v>22</v>
      </c>
      <c r="B710" s="153"/>
      <c r="C710" s="153">
        <v>88497</v>
      </c>
      <c r="D710" s="143" t="s">
        <v>546</v>
      </c>
      <c r="E710" s="158" t="s">
        <v>547</v>
      </c>
      <c r="F710" s="143" t="s">
        <v>33</v>
      </c>
      <c r="G710" s="146"/>
      <c r="H710" s="146"/>
      <c r="I710" s="146">
        <v>0.67</v>
      </c>
      <c r="J710" s="146">
        <f>SUM(J711:J714)</f>
        <v>7.9508223199999994</v>
      </c>
      <c r="K710" s="146">
        <f>SUM(K711:K714)</f>
        <v>7.0960870800000002</v>
      </c>
      <c r="L710" s="146">
        <f>J710+K710</f>
        <v>15.046909400000001</v>
      </c>
      <c r="M710" s="146">
        <f>J710*I710</f>
        <v>5.3270509543999998</v>
      </c>
      <c r="N710" s="146">
        <f>K710*I710</f>
        <v>4.7543783436</v>
      </c>
      <c r="O710" s="146">
        <f>M710+N710</f>
        <v>10.081429298</v>
      </c>
      <c r="P710" s="146">
        <f>O710*$P$1</f>
        <v>2.5868947578668</v>
      </c>
      <c r="Q710" s="146">
        <f>P710+O710</f>
        <v>12.668324055866799</v>
      </c>
    </row>
    <row r="711" spans="1:17" s="25" customFormat="1" x14ac:dyDescent="0.25">
      <c r="A711" s="236" t="s">
        <v>22</v>
      </c>
      <c r="B711" s="201" t="s">
        <v>27</v>
      </c>
      <c r="C711" s="239">
        <v>88316</v>
      </c>
      <c r="D711" s="201"/>
      <c r="E711" s="237" t="s">
        <v>30</v>
      </c>
      <c r="F711" s="239" t="s">
        <v>29</v>
      </c>
      <c r="G711" s="225">
        <v>0.114</v>
      </c>
      <c r="H711" s="203">
        <v>18.899999999999999</v>
      </c>
      <c r="I711" s="203" t="s">
        <v>1193</v>
      </c>
      <c r="J711" s="203">
        <f>0.3242*H711*G711</f>
        <v>0.69852132</v>
      </c>
      <c r="K711" s="203">
        <f>0.6758*H711*G711</f>
        <v>1.4560786799999998</v>
      </c>
      <c r="L711" s="203"/>
      <c r="M711" s="203"/>
      <c r="N711" s="203"/>
      <c r="O711" s="203"/>
      <c r="P711" s="203"/>
      <c r="Q711" s="203"/>
    </row>
    <row r="712" spans="1:17" s="25" customFormat="1" x14ac:dyDescent="0.25">
      <c r="A712" s="234" t="s">
        <v>22</v>
      </c>
      <c r="B712" s="197" t="s">
        <v>27</v>
      </c>
      <c r="C712" s="235">
        <v>88310</v>
      </c>
      <c r="D712" s="197"/>
      <c r="E712" s="238" t="s">
        <v>542</v>
      </c>
      <c r="F712" s="235" t="s">
        <v>29</v>
      </c>
      <c r="G712" s="241">
        <v>0.312</v>
      </c>
      <c r="H712" s="199">
        <v>25.5</v>
      </c>
      <c r="I712" s="199" t="s">
        <v>1193</v>
      </c>
      <c r="J712" s="199">
        <f>0.291*H712*G712</f>
        <v>2.3151959999999998</v>
      </c>
      <c r="K712" s="199">
        <f>0.7089*H712*G712</f>
        <v>5.6400084000000001</v>
      </c>
      <c r="L712" s="199"/>
      <c r="M712" s="199"/>
      <c r="N712" s="199"/>
      <c r="O712" s="199"/>
      <c r="P712" s="199"/>
      <c r="Q712" s="199"/>
    </row>
    <row r="713" spans="1:17" s="25" customFormat="1" x14ac:dyDescent="0.25">
      <c r="A713" s="236" t="s">
        <v>22</v>
      </c>
      <c r="B713" s="201" t="s">
        <v>62</v>
      </c>
      <c r="C713" s="239">
        <v>4047</v>
      </c>
      <c r="D713" s="239"/>
      <c r="E713" s="237" t="s">
        <v>543</v>
      </c>
      <c r="F713" s="239" t="s">
        <v>544</v>
      </c>
      <c r="G713" s="225">
        <v>0.2445</v>
      </c>
      <c r="H713" s="203">
        <v>19.89</v>
      </c>
      <c r="I713" s="203" t="s">
        <v>1193</v>
      </c>
      <c r="J713" s="203">
        <f t="shared" ref="J713:J714" si="67">H713*G713</f>
        <v>4.863105</v>
      </c>
      <c r="K713" s="203"/>
      <c r="L713" s="203"/>
      <c r="M713" s="203"/>
      <c r="N713" s="203"/>
      <c r="O713" s="203"/>
      <c r="P713" s="203"/>
      <c r="Q713" s="203"/>
    </row>
    <row r="714" spans="1:17" s="25" customFormat="1" x14ac:dyDescent="0.25">
      <c r="A714" s="234" t="s">
        <v>22</v>
      </c>
      <c r="B714" s="197" t="s">
        <v>62</v>
      </c>
      <c r="C714" s="235">
        <v>3767</v>
      </c>
      <c r="D714" s="197"/>
      <c r="E714" s="238" t="s">
        <v>545</v>
      </c>
      <c r="F714" s="235" t="s">
        <v>1215</v>
      </c>
      <c r="G714" s="241">
        <v>0.1</v>
      </c>
      <c r="H714" s="199">
        <v>0.74</v>
      </c>
      <c r="I714" s="199" t="s">
        <v>1193</v>
      </c>
      <c r="J714" s="199">
        <f t="shared" si="67"/>
        <v>7.3999999999999996E-2</v>
      </c>
      <c r="K714" s="199"/>
      <c r="L714" s="199"/>
      <c r="M714" s="199"/>
      <c r="N714" s="199"/>
      <c r="O714" s="199"/>
      <c r="P714" s="199"/>
      <c r="Q714" s="199"/>
    </row>
    <row r="715" spans="1:17" s="25" customFormat="1" x14ac:dyDescent="0.25">
      <c r="A715" s="163"/>
      <c r="B715" s="101"/>
      <c r="C715" s="101"/>
      <c r="D715" s="101"/>
      <c r="E715" s="102"/>
      <c r="F715" s="101"/>
      <c r="G715" s="96"/>
      <c r="H715" s="96"/>
      <c r="I715" s="96" t="s">
        <v>1193</v>
      </c>
      <c r="J715" s="96"/>
      <c r="K715" s="96"/>
      <c r="L715" s="96"/>
      <c r="M715" s="96"/>
      <c r="N715" s="96"/>
      <c r="O715" s="96"/>
      <c r="P715" s="96"/>
      <c r="Q715" s="96"/>
    </row>
    <row r="716" spans="1:17" s="25" customFormat="1" x14ac:dyDescent="0.25">
      <c r="A716" s="152" t="s">
        <v>22</v>
      </c>
      <c r="B716" s="153"/>
      <c r="C716" s="153">
        <v>102193</v>
      </c>
      <c r="D716" s="143" t="s">
        <v>548</v>
      </c>
      <c r="E716" s="158" t="s">
        <v>549</v>
      </c>
      <c r="F716" s="143" t="s">
        <v>33</v>
      </c>
      <c r="G716" s="146"/>
      <c r="H716" s="146"/>
      <c r="I716" s="146">
        <v>0.67</v>
      </c>
      <c r="J716" s="146">
        <f>SUM(J717:J718)</f>
        <v>0.74870700000000001</v>
      </c>
      <c r="K716" s="146">
        <f>SUM(K717:K718)</f>
        <v>0.97615529999999995</v>
      </c>
      <c r="L716" s="146">
        <f>J716+K716</f>
        <v>1.7248622999999998</v>
      </c>
      <c r="M716" s="146">
        <f>J716*I716</f>
        <v>0.50163369000000002</v>
      </c>
      <c r="N716" s="146">
        <f>K716*I716</f>
        <v>0.65402405100000005</v>
      </c>
      <c r="O716" s="146">
        <f>M716+N716</f>
        <v>1.1556577410000002</v>
      </c>
      <c r="P716" s="146">
        <f>O716*$P$1</f>
        <v>0.29654177634060003</v>
      </c>
      <c r="Q716" s="146">
        <f>P716+O716</f>
        <v>1.4521995173406002</v>
      </c>
    </row>
    <row r="717" spans="1:17" s="25" customFormat="1" x14ac:dyDescent="0.25">
      <c r="A717" s="236" t="s">
        <v>22</v>
      </c>
      <c r="B717" s="201" t="s">
        <v>27</v>
      </c>
      <c r="C717" s="239">
        <v>88310</v>
      </c>
      <c r="D717" s="201"/>
      <c r="E717" s="237" t="s">
        <v>542</v>
      </c>
      <c r="F717" s="239" t="s">
        <v>29</v>
      </c>
      <c r="G717" s="225">
        <v>5.3999999999999999E-2</v>
      </c>
      <c r="H717" s="203">
        <v>25.5</v>
      </c>
      <c r="I717" s="203" t="s">
        <v>1193</v>
      </c>
      <c r="J717" s="203">
        <f>0.291*H717*G717</f>
        <v>0.40070699999999998</v>
      </c>
      <c r="K717" s="203">
        <f>0.7089*H717*G717</f>
        <v>0.97615529999999995</v>
      </c>
      <c r="L717" s="203"/>
      <c r="M717" s="203"/>
      <c r="N717" s="203"/>
      <c r="O717" s="203"/>
      <c r="P717" s="203"/>
      <c r="Q717" s="203"/>
    </row>
    <row r="718" spans="1:17" s="25" customFormat="1" x14ac:dyDescent="0.25">
      <c r="A718" s="234" t="s">
        <v>22</v>
      </c>
      <c r="B718" s="197" t="s">
        <v>62</v>
      </c>
      <c r="C718" s="235">
        <v>3767</v>
      </c>
      <c r="D718" s="197"/>
      <c r="E718" s="238" t="s">
        <v>545</v>
      </c>
      <c r="F718" s="235" t="s">
        <v>1215</v>
      </c>
      <c r="G718" s="241">
        <v>0.4</v>
      </c>
      <c r="H718" s="241">
        <v>0.87</v>
      </c>
      <c r="I718" s="199" t="s">
        <v>1193</v>
      </c>
      <c r="J718" s="199">
        <f>H718*G718</f>
        <v>0.34800000000000003</v>
      </c>
      <c r="K718" s="199"/>
      <c r="L718" s="199"/>
      <c r="M718" s="199"/>
      <c r="N718" s="199"/>
      <c r="O718" s="199"/>
      <c r="P718" s="199"/>
      <c r="Q718" s="199"/>
    </row>
    <row r="719" spans="1:17" s="25" customFormat="1" x14ac:dyDescent="0.25">
      <c r="A719" s="163"/>
      <c r="B719" s="101"/>
      <c r="C719" s="101"/>
      <c r="D719" s="101"/>
      <c r="E719" s="102"/>
      <c r="F719" s="101"/>
      <c r="G719" s="96"/>
      <c r="H719" s="96"/>
      <c r="I719" s="96" t="s">
        <v>1193</v>
      </c>
      <c r="J719" s="96"/>
      <c r="K719" s="96"/>
      <c r="L719" s="96"/>
      <c r="M719" s="96"/>
      <c r="N719" s="96"/>
      <c r="O719" s="96"/>
      <c r="P719" s="96"/>
      <c r="Q719" s="96"/>
    </row>
    <row r="720" spans="1:17" s="25" customFormat="1" x14ac:dyDescent="0.25">
      <c r="A720" s="152" t="s">
        <v>22</v>
      </c>
      <c r="B720" s="153"/>
      <c r="C720" s="153">
        <v>100717</v>
      </c>
      <c r="D720" s="143" t="s">
        <v>550</v>
      </c>
      <c r="E720" s="158" t="s">
        <v>551</v>
      </c>
      <c r="F720" s="143" t="s">
        <v>33</v>
      </c>
      <c r="G720" s="146"/>
      <c r="H720" s="146"/>
      <c r="I720" s="146">
        <v>0.67</v>
      </c>
      <c r="J720" s="146">
        <f>SUM(J721:J722)</f>
        <v>3.3107612999999994</v>
      </c>
      <c r="K720" s="146">
        <f>SUM(K721:K722)</f>
        <v>5.3977772699999997</v>
      </c>
      <c r="L720" s="146">
        <f>J720+K720</f>
        <v>8.7085385699999982</v>
      </c>
      <c r="M720" s="146">
        <f>J720*I720</f>
        <v>2.2182100709999997</v>
      </c>
      <c r="N720" s="146">
        <f>K720*I720</f>
        <v>3.6165107709000002</v>
      </c>
      <c r="O720" s="146">
        <f>M720+N720</f>
        <v>5.8347208418999994</v>
      </c>
      <c r="P720" s="146">
        <f>O720*$P$1</f>
        <v>1.4971893680315398</v>
      </c>
      <c r="Q720" s="146">
        <f>P720+O720</f>
        <v>7.3319102099315394</v>
      </c>
    </row>
    <row r="721" spans="1:18" s="25" customFormat="1" x14ac:dyDescent="0.25">
      <c r="A721" s="236" t="s">
        <v>22</v>
      </c>
      <c r="B721" s="201" t="s">
        <v>27</v>
      </c>
      <c r="C721" s="239">
        <v>88310</v>
      </c>
      <c r="D721" s="201"/>
      <c r="E721" s="237" t="s">
        <v>542</v>
      </c>
      <c r="F721" s="239" t="s">
        <v>29</v>
      </c>
      <c r="G721" s="225">
        <v>0.29859999999999998</v>
      </c>
      <c r="H721" s="203">
        <v>25.5</v>
      </c>
      <c r="I721" s="203" t="s">
        <v>1193</v>
      </c>
      <c r="J721" s="203">
        <f>0.291*H721*G721</f>
        <v>2.2157612999999996</v>
      </c>
      <c r="K721" s="203">
        <f>0.7089*H721*G721</f>
        <v>5.3977772699999997</v>
      </c>
      <c r="L721" s="203"/>
      <c r="M721" s="203"/>
      <c r="N721" s="203"/>
      <c r="O721" s="203"/>
      <c r="P721" s="203"/>
      <c r="Q721" s="203"/>
    </row>
    <row r="722" spans="1:18" s="25" customFormat="1" x14ac:dyDescent="0.25">
      <c r="A722" s="234" t="s">
        <v>22</v>
      </c>
      <c r="B722" s="197" t="s">
        <v>62</v>
      </c>
      <c r="C722" s="235">
        <v>3768</v>
      </c>
      <c r="D722" s="197"/>
      <c r="E722" s="238" t="s">
        <v>545</v>
      </c>
      <c r="F722" s="235" t="s">
        <v>1215</v>
      </c>
      <c r="G722" s="241">
        <v>0.3</v>
      </c>
      <c r="H722" s="241">
        <v>3.65</v>
      </c>
      <c r="I722" s="199" t="s">
        <v>1193</v>
      </c>
      <c r="J722" s="199">
        <f>H722*G722</f>
        <v>1.095</v>
      </c>
      <c r="K722" s="199"/>
      <c r="L722" s="199"/>
      <c r="M722" s="199"/>
      <c r="N722" s="199"/>
      <c r="O722" s="199"/>
      <c r="P722" s="199"/>
      <c r="Q722" s="199"/>
    </row>
    <row r="723" spans="1:18" s="25" customFormat="1" x14ac:dyDescent="0.25">
      <c r="A723" s="163"/>
      <c r="B723" s="101"/>
      <c r="C723" s="101"/>
      <c r="D723" s="101"/>
      <c r="E723" s="102"/>
      <c r="F723" s="101"/>
      <c r="G723" s="96"/>
      <c r="H723" s="96"/>
      <c r="I723" s="96" t="s">
        <v>1193</v>
      </c>
      <c r="J723" s="96"/>
      <c r="K723" s="96"/>
      <c r="L723" s="96"/>
      <c r="M723" s="96"/>
      <c r="N723" s="96"/>
      <c r="O723" s="96"/>
      <c r="P723" s="96"/>
      <c r="Q723" s="96"/>
    </row>
    <row r="724" spans="1:18" s="189" customFormat="1" ht="15.75" x14ac:dyDescent="0.25">
      <c r="A724" s="183"/>
      <c r="B724" s="184"/>
      <c r="C724" s="184"/>
      <c r="D724" s="185"/>
      <c r="E724" s="186" t="s">
        <v>552</v>
      </c>
      <c r="F724" s="185"/>
      <c r="G724" s="187"/>
      <c r="H724" s="188"/>
      <c r="I724" s="187" t="s">
        <v>1193</v>
      </c>
      <c r="J724" s="187"/>
      <c r="K724" s="187"/>
      <c r="L724" s="187"/>
      <c r="M724" s="187"/>
      <c r="N724" s="187"/>
      <c r="O724" s="187"/>
      <c r="P724" s="188"/>
      <c r="Q724" s="188"/>
      <c r="R724" s="25"/>
    </row>
    <row r="725" spans="1:18" s="25" customFormat="1" ht="42" customHeight="1" x14ac:dyDescent="0.25">
      <c r="A725" s="152" t="s">
        <v>22</v>
      </c>
      <c r="B725" s="153"/>
      <c r="C725" s="153">
        <v>88488</v>
      </c>
      <c r="D725" s="143" t="s">
        <v>553</v>
      </c>
      <c r="E725" s="158" t="s">
        <v>554</v>
      </c>
      <c r="F725" s="143" t="s">
        <v>33</v>
      </c>
      <c r="G725" s="146"/>
      <c r="H725" s="146"/>
      <c r="I725" s="146">
        <v>0.67</v>
      </c>
      <c r="J725" s="146">
        <f>SUM(J726:J728)</f>
        <v>10.16310882</v>
      </c>
      <c r="K725" s="146">
        <f>SUM(K726:K728)</f>
        <v>5.5475389799999997</v>
      </c>
      <c r="L725" s="146">
        <f>J725+K725</f>
        <v>15.7106478</v>
      </c>
      <c r="M725" s="146">
        <f>J725*I725</f>
        <v>6.8092829094000002</v>
      </c>
      <c r="N725" s="146">
        <f>K725*I725</f>
        <v>3.7168511166</v>
      </c>
      <c r="O725" s="146">
        <f>M725+N725</f>
        <v>10.526134026000001</v>
      </c>
      <c r="P725" s="146">
        <f>O725*$P$1</f>
        <v>2.7010059910716002</v>
      </c>
      <c r="Q725" s="146">
        <f>P725+O725</f>
        <v>13.227140017071601</v>
      </c>
    </row>
    <row r="726" spans="1:18" s="25" customFormat="1" x14ac:dyDescent="0.25">
      <c r="A726" s="234" t="s">
        <v>22</v>
      </c>
      <c r="B726" s="197" t="s">
        <v>27</v>
      </c>
      <c r="C726" s="235">
        <v>88316</v>
      </c>
      <c r="D726" s="197"/>
      <c r="E726" s="238" t="s">
        <v>30</v>
      </c>
      <c r="F726" s="235" t="s">
        <v>29</v>
      </c>
      <c r="G726" s="241">
        <v>8.8999999999999996E-2</v>
      </c>
      <c r="H726" s="203">
        <v>18.899999999999999</v>
      </c>
      <c r="I726" s="199" t="s">
        <v>1193</v>
      </c>
      <c r="J726" s="199">
        <f>0.3242*H726*G726</f>
        <v>0.54533681999999994</v>
      </c>
      <c r="K726" s="199">
        <f>0.6758*H726*G726</f>
        <v>1.1367631799999998</v>
      </c>
      <c r="L726" s="199"/>
      <c r="M726" s="199"/>
      <c r="N726" s="199"/>
      <c r="O726" s="199"/>
      <c r="P726" s="199"/>
      <c r="Q726" s="199"/>
    </row>
    <row r="727" spans="1:18" s="25" customFormat="1" x14ac:dyDescent="0.25">
      <c r="A727" s="236" t="s">
        <v>22</v>
      </c>
      <c r="B727" s="201" t="s">
        <v>27</v>
      </c>
      <c r="C727" s="239">
        <v>88310</v>
      </c>
      <c r="D727" s="201"/>
      <c r="E727" s="237" t="s">
        <v>542</v>
      </c>
      <c r="F727" s="239" t="s">
        <v>29</v>
      </c>
      <c r="G727" s="225">
        <v>0.24399999999999999</v>
      </c>
      <c r="H727" s="203">
        <v>25.5</v>
      </c>
      <c r="I727" s="203" t="s">
        <v>1193</v>
      </c>
      <c r="J727" s="203">
        <f>0.291*H727*G727</f>
        <v>1.8106019999999998</v>
      </c>
      <c r="K727" s="203">
        <f>0.7089*H727*G727</f>
        <v>4.4107757999999997</v>
      </c>
      <c r="L727" s="203"/>
      <c r="M727" s="203"/>
      <c r="N727" s="203"/>
      <c r="O727" s="203"/>
      <c r="P727" s="203"/>
      <c r="Q727" s="203"/>
    </row>
    <row r="728" spans="1:18" s="25" customFormat="1" x14ac:dyDescent="0.25">
      <c r="A728" s="234" t="s">
        <v>22</v>
      </c>
      <c r="B728" s="197" t="s">
        <v>62</v>
      </c>
      <c r="C728" s="235">
        <v>7356</v>
      </c>
      <c r="D728" s="197"/>
      <c r="E728" s="238" t="s">
        <v>555</v>
      </c>
      <c r="F728" s="235" t="s">
        <v>206</v>
      </c>
      <c r="G728" s="241">
        <v>0.32900000000000001</v>
      </c>
      <c r="H728" s="241">
        <v>23.73</v>
      </c>
      <c r="I728" s="199" t="s">
        <v>1193</v>
      </c>
      <c r="J728" s="199">
        <f>H728*G728</f>
        <v>7.8071700000000002</v>
      </c>
      <c r="K728" s="199"/>
      <c r="L728" s="199"/>
      <c r="M728" s="199"/>
      <c r="N728" s="199"/>
      <c r="O728" s="199"/>
      <c r="P728" s="199"/>
      <c r="Q728" s="199"/>
    </row>
    <row r="729" spans="1:18" s="25" customFormat="1" x14ac:dyDescent="0.25">
      <c r="A729" s="163"/>
      <c r="B729" s="101"/>
      <c r="C729" s="101"/>
      <c r="D729" s="101"/>
      <c r="E729" s="102"/>
      <c r="F729" s="101"/>
      <c r="G729" s="96"/>
      <c r="H729" s="96"/>
      <c r="I729" s="96" t="s">
        <v>1193</v>
      </c>
      <c r="J729" s="96"/>
      <c r="K729" s="96"/>
      <c r="L729" s="96"/>
      <c r="M729" s="96"/>
      <c r="N729" s="96"/>
      <c r="O729" s="96"/>
      <c r="P729" s="96"/>
      <c r="Q729" s="96"/>
    </row>
    <row r="730" spans="1:18" s="25" customFormat="1" ht="45" x14ac:dyDescent="0.25">
      <c r="A730" s="152" t="s">
        <v>22</v>
      </c>
      <c r="B730" s="153"/>
      <c r="C730" s="153">
        <v>95624</v>
      </c>
      <c r="D730" s="143" t="s">
        <v>556</v>
      </c>
      <c r="E730" s="158" t="s">
        <v>557</v>
      </c>
      <c r="F730" s="143" t="s">
        <v>33</v>
      </c>
      <c r="G730" s="146"/>
      <c r="H730" s="146"/>
      <c r="I730" s="146">
        <v>0.67</v>
      </c>
      <c r="J730" s="146">
        <f>SUM(J731:J733)</f>
        <v>9.4667691600000001</v>
      </c>
      <c r="K730" s="146">
        <f>SUM(K731:K733)</f>
        <v>11.236551840000001</v>
      </c>
      <c r="L730" s="146">
        <f>J730+K730</f>
        <v>20.703321000000003</v>
      </c>
      <c r="M730" s="146">
        <f>J730*I730</f>
        <v>6.3427353372000006</v>
      </c>
      <c r="N730" s="146">
        <f>K730*I730</f>
        <v>7.5284897328000007</v>
      </c>
      <c r="O730" s="146">
        <f>M730+N730</f>
        <v>13.871225070000001</v>
      </c>
      <c r="P730" s="146">
        <f>O730*$P$1</f>
        <v>3.5593563529620003</v>
      </c>
      <c r="Q730" s="146">
        <f>P730+O730</f>
        <v>17.430581422962</v>
      </c>
    </row>
    <row r="731" spans="1:18" s="25" customFormat="1" x14ac:dyDescent="0.25">
      <c r="A731" s="236" t="s">
        <v>22</v>
      </c>
      <c r="B731" s="201" t="s">
        <v>27</v>
      </c>
      <c r="C731" s="239">
        <v>88316</v>
      </c>
      <c r="D731" s="201"/>
      <c r="E731" s="237" t="s">
        <v>30</v>
      </c>
      <c r="F731" s="239" t="s">
        <v>29</v>
      </c>
      <c r="G731" s="225">
        <v>0.13200000000000001</v>
      </c>
      <c r="H731" s="203">
        <v>18.899999999999999</v>
      </c>
      <c r="I731" s="203" t="s">
        <v>1193</v>
      </c>
      <c r="J731" s="203">
        <f>0.3242*H731*G731</f>
        <v>0.80881415999999995</v>
      </c>
      <c r="K731" s="203">
        <f>0.6758*H731*G731</f>
        <v>1.6859858399999998</v>
      </c>
      <c r="L731" s="203"/>
      <c r="M731" s="203"/>
      <c r="N731" s="203"/>
      <c r="O731" s="203"/>
      <c r="P731" s="203"/>
      <c r="Q731" s="203"/>
    </row>
    <row r="732" spans="1:18" s="25" customFormat="1" x14ac:dyDescent="0.25">
      <c r="A732" s="234" t="s">
        <v>22</v>
      </c>
      <c r="B732" s="197" t="s">
        <v>27</v>
      </c>
      <c r="C732" s="235">
        <v>88310</v>
      </c>
      <c r="D732" s="197"/>
      <c r="E732" s="238" t="s">
        <v>542</v>
      </c>
      <c r="F732" s="235" t="s">
        <v>29</v>
      </c>
      <c r="G732" s="241">
        <v>0.52900000000000003</v>
      </c>
      <c r="H732" s="199">
        <v>25.5</v>
      </c>
      <c r="I732" s="199" t="s">
        <v>1193</v>
      </c>
      <c r="J732" s="199">
        <f>0.29*H732*G732</f>
        <v>3.9119549999999998</v>
      </c>
      <c r="K732" s="199">
        <f>0.708*H732*G732</f>
        <v>9.5505659999999999</v>
      </c>
      <c r="L732" s="199"/>
      <c r="M732" s="199"/>
      <c r="N732" s="199"/>
      <c r="O732" s="199"/>
      <c r="P732" s="199"/>
      <c r="Q732" s="199"/>
    </row>
    <row r="733" spans="1:18" s="25" customFormat="1" x14ac:dyDescent="0.25">
      <c r="A733" s="236" t="s">
        <v>22</v>
      </c>
      <c r="B733" s="201" t="s">
        <v>62</v>
      </c>
      <c r="C733" s="239">
        <v>7356</v>
      </c>
      <c r="D733" s="201"/>
      <c r="E733" s="237" t="s">
        <v>555</v>
      </c>
      <c r="F733" s="239" t="s">
        <v>206</v>
      </c>
      <c r="G733" s="225">
        <v>0.2</v>
      </c>
      <c r="H733" s="241">
        <v>23.73</v>
      </c>
      <c r="I733" s="203" t="s">
        <v>1193</v>
      </c>
      <c r="J733" s="203">
        <f>H733*G733</f>
        <v>4.7460000000000004</v>
      </c>
      <c r="K733" s="203"/>
      <c r="L733" s="203"/>
      <c r="M733" s="203"/>
      <c r="N733" s="203"/>
      <c r="O733" s="203"/>
      <c r="P733" s="203"/>
      <c r="Q733" s="203"/>
    </row>
    <row r="734" spans="1:18" s="25" customFormat="1" x14ac:dyDescent="0.25">
      <c r="A734" s="159"/>
      <c r="B734" s="160"/>
      <c r="C734" s="160"/>
      <c r="D734" s="160"/>
      <c r="E734" s="161"/>
      <c r="F734" s="160"/>
      <c r="G734" s="162"/>
      <c r="H734" s="162"/>
      <c r="I734" s="162" t="s">
        <v>1193</v>
      </c>
      <c r="J734" s="162"/>
      <c r="K734" s="162"/>
      <c r="L734" s="162"/>
      <c r="M734" s="162"/>
      <c r="N734" s="162"/>
      <c r="O734" s="162"/>
      <c r="P734" s="162"/>
      <c r="Q734" s="162"/>
    </row>
    <row r="735" spans="1:18" s="25" customFormat="1" ht="30" x14ac:dyDescent="0.25">
      <c r="A735" s="152" t="s">
        <v>22</v>
      </c>
      <c r="B735" s="153"/>
      <c r="C735" s="153">
        <v>88487</v>
      </c>
      <c r="D735" s="143" t="s">
        <v>558</v>
      </c>
      <c r="E735" s="158" t="s">
        <v>559</v>
      </c>
      <c r="F735" s="143" t="s">
        <v>33</v>
      </c>
      <c r="G735" s="146"/>
      <c r="H735" s="146"/>
      <c r="I735" s="146">
        <v>0.67</v>
      </c>
      <c r="J735" s="146">
        <f>SUM(J736:J738)</f>
        <v>9.0896792400000006</v>
      </c>
      <c r="K735" s="146">
        <f>SUM(K736:K738)</f>
        <v>2.9630892600000003</v>
      </c>
      <c r="L735" s="146">
        <f>J735+K735</f>
        <v>12.052768500000001</v>
      </c>
      <c r="M735" s="146">
        <f>J735*I735</f>
        <v>6.0900850908000006</v>
      </c>
      <c r="N735" s="146">
        <f>K735*I735</f>
        <v>1.9852698042000003</v>
      </c>
      <c r="O735" s="146">
        <f>M735+N735</f>
        <v>8.0753548950000003</v>
      </c>
      <c r="P735" s="146">
        <f>O735*$P$1</f>
        <v>2.0721360660569998</v>
      </c>
      <c r="Q735" s="146">
        <f>P735+O735</f>
        <v>10.147490961057001</v>
      </c>
    </row>
    <row r="736" spans="1:18" s="25" customFormat="1" x14ac:dyDescent="0.25">
      <c r="A736" s="234" t="s">
        <v>22</v>
      </c>
      <c r="B736" s="197" t="s">
        <v>27</v>
      </c>
      <c r="C736" s="235">
        <v>88316</v>
      </c>
      <c r="D736" s="197"/>
      <c r="E736" s="238" t="s">
        <v>30</v>
      </c>
      <c r="F736" s="235" t="s">
        <v>29</v>
      </c>
      <c r="G736" s="241">
        <v>4.8000000000000001E-2</v>
      </c>
      <c r="H736" s="203">
        <v>18.899999999999999</v>
      </c>
      <c r="I736" s="199" t="s">
        <v>1193</v>
      </c>
      <c r="J736" s="199">
        <f>0.3242*H736*G736</f>
        <v>0.29411423999999997</v>
      </c>
      <c r="K736" s="199">
        <f>0.6758*H736*G736</f>
        <v>0.61308575999999992</v>
      </c>
      <c r="L736" s="199"/>
      <c r="M736" s="199"/>
      <c r="N736" s="199"/>
      <c r="O736" s="199"/>
      <c r="P736" s="199"/>
      <c r="Q736" s="199"/>
    </row>
    <row r="737" spans="1:17" s="25" customFormat="1" x14ac:dyDescent="0.25">
      <c r="A737" s="236" t="s">
        <v>22</v>
      </c>
      <c r="B737" s="201" t="s">
        <v>27</v>
      </c>
      <c r="C737" s="239">
        <v>88310</v>
      </c>
      <c r="D737" s="201"/>
      <c r="E737" s="237" t="s">
        <v>542</v>
      </c>
      <c r="F737" s="239" t="s">
        <v>29</v>
      </c>
      <c r="G737" s="225">
        <v>0.13</v>
      </c>
      <c r="H737" s="203">
        <v>25.5</v>
      </c>
      <c r="I737" s="203" t="s">
        <v>1193</v>
      </c>
      <c r="J737" s="203">
        <f>0.291*H737*G737</f>
        <v>0.96466499999999999</v>
      </c>
      <c r="K737" s="203">
        <f>0.7089*H737*G737</f>
        <v>2.3500035000000001</v>
      </c>
      <c r="L737" s="203"/>
      <c r="M737" s="203"/>
      <c r="N737" s="203"/>
      <c r="O737" s="203"/>
      <c r="P737" s="203"/>
      <c r="Q737" s="203"/>
    </row>
    <row r="738" spans="1:17" s="25" customFormat="1" x14ac:dyDescent="0.25">
      <c r="A738" s="234" t="s">
        <v>22</v>
      </c>
      <c r="B738" s="197" t="s">
        <v>62</v>
      </c>
      <c r="C738" s="235">
        <v>7356</v>
      </c>
      <c r="D738" s="197"/>
      <c r="E738" s="238" t="s">
        <v>560</v>
      </c>
      <c r="F738" s="235" t="s">
        <v>206</v>
      </c>
      <c r="G738" s="241">
        <v>0.33</v>
      </c>
      <c r="H738" s="241">
        <v>23.73</v>
      </c>
      <c r="I738" s="199" t="s">
        <v>1193</v>
      </c>
      <c r="J738" s="199">
        <f>H738*G738</f>
        <v>7.8309000000000006</v>
      </c>
      <c r="K738" s="199"/>
      <c r="L738" s="199"/>
      <c r="M738" s="199"/>
      <c r="N738" s="199"/>
      <c r="O738" s="199"/>
      <c r="P738" s="199"/>
      <c r="Q738" s="199"/>
    </row>
    <row r="739" spans="1:17" s="25" customFormat="1" x14ac:dyDescent="0.25">
      <c r="A739" s="163"/>
      <c r="B739" s="101"/>
      <c r="C739" s="101"/>
      <c r="D739" s="101"/>
      <c r="E739" s="102"/>
      <c r="F739" s="101"/>
      <c r="G739" s="96"/>
      <c r="H739" s="96"/>
      <c r="I739" s="96" t="s">
        <v>1193</v>
      </c>
      <c r="J739" s="96"/>
      <c r="K739" s="96"/>
      <c r="L739" s="96"/>
      <c r="M739" s="96"/>
      <c r="N739" s="96"/>
      <c r="O739" s="96"/>
      <c r="P739" s="96"/>
      <c r="Q739" s="96"/>
    </row>
    <row r="740" spans="1:17" s="25" customFormat="1" x14ac:dyDescent="0.25">
      <c r="A740" s="152" t="s">
        <v>22</v>
      </c>
      <c r="B740" s="153"/>
      <c r="C740" s="153">
        <v>88424</v>
      </c>
      <c r="D740" s="143" t="s">
        <v>561</v>
      </c>
      <c r="E740" s="158" t="s">
        <v>562</v>
      </c>
      <c r="F740" s="143" t="s">
        <v>33</v>
      </c>
      <c r="G740" s="146"/>
      <c r="H740" s="146"/>
      <c r="I740" s="146">
        <v>0.67</v>
      </c>
      <c r="J740" s="146">
        <f>SUM(J741:J743)</f>
        <v>16.494389699999999</v>
      </c>
      <c r="K740" s="146">
        <f>SUM(K741:K743)</f>
        <v>5.5302273</v>
      </c>
      <c r="L740" s="146">
        <f>J740+K740</f>
        <v>22.024616999999999</v>
      </c>
      <c r="M740" s="146">
        <f>J740*I740</f>
        <v>11.051241099</v>
      </c>
      <c r="N740" s="146">
        <f>K740*I740</f>
        <v>3.7052522910000003</v>
      </c>
      <c r="O740" s="146">
        <f>M740+N740</f>
        <v>14.756493390000001</v>
      </c>
      <c r="P740" s="146">
        <f>O740*$P$1</f>
        <v>3.7865162038740001</v>
      </c>
      <c r="Q740" s="146">
        <f>P740+O740</f>
        <v>18.543009593874</v>
      </c>
    </row>
    <row r="741" spans="1:17" s="25" customFormat="1" x14ac:dyDescent="0.25">
      <c r="A741" s="236" t="s">
        <v>22</v>
      </c>
      <c r="B741" s="201" t="s">
        <v>27</v>
      </c>
      <c r="C741" s="239">
        <v>88316</v>
      </c>
      <c r="D741" s="201"/>
      <c r="E741" s="237" t="s">
        <v>30</v>
      </c>
      <c r="F741" s="239" t="s">
        <v>29</v>
      </c>
      <c r="G741" s="225">
        <v>6.5000000000000002E-2</v>
      </c>
      <c r="H741" s="203">
        <v>18.899999999999999</v>
      </c>
      <c r="I741" s="203" t="s">
        <v>1193</v>
      </c>
      <c r="J741" s="203">
        <f>0.3242*H741*G741</f>
        <v>0.39827970000000001</v>
      </c>
      <c r="K741" s="203">
        <f>0.6758*H741*G741</f>
        <v>0.83022029999999991</v>
      </c>
      <c r="L741" s="203"/>
      <c r="M741" s="203"/>
      <c r="N741" s="203"/>
      <c r="O741" s="203"/>
      <c r="P741" s="203"/>
      <c r="Q741" s="203"/>
    </row>
    <row r="742" spans="1:17" s="25" customFormat="1" x14ac:dyDescent="0.25">
      <c r="A742" s="234" t="s">
        <v>22</v>
      </c>
      <c r="B742" s="197" t="s">
        <v>27</v>
      </c>
      <c r="C742" s="235">
        <v>88310</v>
      </c>
      <c r="D742" s="197"/>
      <c r="E742" s="238" t="s">
        <v>542</v>
      </c>
      <c r="F742" s="235" t="s">
        <v>29</v>
      </c>
      <c r="G742" s="241">
        <v>0.26</v>
      </c>
      <c r="H742" s="199">
        <v>25.5</v>
      </c>
      <c r="I742" s="199" t="s">
        <v>1193</v>
      </c>
      <c r="J742" s="199">
        <f>0.291*H742*G742</f>
        <v>1.92933</v>
      </c>
      <c r="K742" s="199">
        <f>0.7089*H742*G742</f>
        <v>4.7000070000000003</v>
      </c>
      <c r="L742" s="199"/>
      <c r="M742" s="199"/>
      <c r="N742" s="199"/>
      <c r="O742" s="199"/>
      <c r="P742" s="199"/>
      <c r="Q742" s="199"/>
    </row>
    <row r="743" spans="1:17" s="25" customFormat="1" x14ac:dyDescent="0.25">
      <c r="A743" s="236" t="s">
        <v>22</v>
      </c>
      <c r="B743" s="201" t="s">
        <v>62</v>
      </c>
      <c r="C743" s="239">
        <v>38877</v>
      </c>
      <c r="D743" s="201"/>
      <c r="E743" s="237" t="s">
        <v>563</v>
      </c>
      <c r="F743" s="239" t="s">
        <v>64</v>
      </c>
      <c r="G743" s="225">
        <v>1.9379999999999999</v>
      </c>
      <c r="H743" s="225">
        <v>7.31</v>
      </c>
      <c r="I743" s="203" t="s">
        <v>1193</v>
      </c>
      <c r="J743" s="203">
        <f>H743*G743</f>
        <v>14.166779999999999</v>
      </c>
      <c r="K743" s="203"/>
      <c r="L743" s="203"/>
      <c r="M743" s="203"/>
      <c r="N743" s="203"/>
      <c r="O743" s="203"/>
      <c r="P743" s="203"/>
      <c r="Q743" s="203"/>
    </row>
    <row r="744" spans="1:17" s="25" customFormat="1" x14ac:dyDescent="0.25">
      <c r="A744" s="159"/>
      <c r="B744" s="160"/>
      <c r="C744" s="160"/>
      <c r="D744" s="160"/>
      <c r="E744" s="161"/>
      <c r="F744" s="160"/>
      <c r="G744" s="162"/>
      <c r="H744" s="162"/>
      <c r="I744" s="162" t="s">
        <v>1193</v>
      </c>
      <c r="J744" s="162"/>
      <c r="K744" s="162"/>
      <c r="L744" s="162"/>
      <c r="M744" s="162"/>
      <c r="N744" s="162"/>
      <c r="O744" s="162"/>
      <c r="P744" s="162"/>
      <c r="Q744" s="162"/>
    </row>
    <row r="745" spans="1:17" s="25" customFormat="1" ht="76.900000000000006" customHeight="1" x14ac:dyDescent="0.25">
      <c r="A745" s="152" t="s">
        <v>22</v>
      </c>
      <c r="B745" s="153"/>
      <c r="C745" s="153">
        <v>102219</v>
      </c>
      <c r="D745" s="143" t="s">
        <v>564</v>
      </c>
      <c r="E745" s="158" t="s">
        <v>565</v>
      </c>
      <c r="F745" s="143" t="s">
        <v>33</v>
      </c>
      <c r="G745" s="146"/>
      <c r="H745" s="146"/>
      <c r="I745" s="146">
        <v>0.67</v>
      </c>
      <c r="J745" s="146">
        <f>SUM(J746:J748)</f>
        <v>6.9437975000000005</v>
      </c>
      <c r="K745" s="146">
        <f>SUM(K746:K748)</f>
        <v>6.8782794750000003</v>
      </c>
      <c r="L745" s="146">
        <f>J745+K745</f>
        <v>13.822076975000002</v>
      </c>
      <c r="M745" s="146">
        <f>J745*I745</f>
        <v>4.6523443250000005</v>
      </c>
      <c r="N745" s="146">
        <f>K745*I745</f>
        <v>4.6084472482500001</v>
      </c>
      <c r="O745" s="146">
        <f>M745+N745</f>
        <v>9.2607915732499997</v>
      </c>
      <c r="P745" s="146">
        <f>O745*$P$1</f>
        <v>2.3763191176959499</v>
      </c>
      <c r="Q745" s="146">
        <f>P745+O745</f>
        <v>11.637110690945949</v>
      </c>
    </row>
    <row r="746" spans="1:17" s="25" customFormat="1" x14ac:dyDescent="0.25">
      <c r="A746" s="234" t="s">
        <v>22</v>
      </c>
      <c r="B746" s="197" t="s">
        <v>27</v>
      </c>
      <c r="C746" s="235">
        <v>88310</v>
      </c>
      <c r="D746" s="197"/>
      <c r="E746" s="238" t="s">
        <v>542</v>
      </c>
      <c r="F746" s="235" t="s">
        <v>29</v>
      </c>
      <c r="G746" s="241">
        <v>0.3805</v>
      </c>
      <c r="H746" s="199">
        <v>25.5</v>
      </c>
      <c r="I746" s="199" t="s">
        <v>1193</v>
      </c>
      <c r="J746" s="199">
        <f>0.29*H746*G746</f>
        <v>2.8137974999999997</v>
      </c>
      <c r="K746" s="199">
        <f>0.7089*H746*G746</f>
        <v>6.8782794750000003</v>
      </c>
      <c r="L746" s="199"/>
      <c r="M746" s="199"/>
      <c r="N746" s="199"/>
      <c r="O746" s="199"/>
      <c r="P746" s="199"/>
      <c r="Q746" s="199"/>
    </row>
    <row r="747" spans="1:17" s="25" customFormat="1" x14ac:dyDescent="0.25">
      <c r="A747" s="236" t="s">
        <v>22</v>
      </c>
      <c r="B747" s="201" t="s">
        <v>62</v>
      </c>
      <c r="C747" s="239">
        <v>5318</v>
      </c>
      <c r="D747" s="201"/>
      <c r="E747" s="237" t="s">
        <v>566</v>
      </c>
      <c r="F747" s="239" t="s">
        <v>206</v>
      </c>
      <c r="G747" s="225">
        <v>1.4E-2</v>
      </c>
      <c r="H747" s="241">
        <v>13.6</v>
      </c>
      <c r="I747" s="203" t="s">
        <v>1193</v>
      </c>
      <c r="J747" s="203">
        <f t="shared" ref="J747:J748" si="68">H747*G747</f>
        <v>0.19039999999999999</v>
      </c>
      <c r="K747" s="203"/>
      <c r="L747" s="203"/>
      <c r="M747" s="203"/>
      <c r="N747" s="203"/>
      <c r="O747" s="203"/>
      <c r="P747" s="203"/>
      <c r="Q747" s="203"/>
    </row>
    <row r="748" spans="1:17" s="25" customFormat="1" x14ac:dyDescent="0.25">
      <c r="A748" s="234" t="s">
        <v>22</v>
      </c>
      <c r="B748" s="197" t="s">
        <v>62</v>
      </c>
      <c r="C748" s="235">
        <v>7311</v>
      </c>
      <c r="D748" s="197"/>
      <c r="E748" s="238" t="s">
        <v>567</v>
      </c>
      <c r="F748" s="235" t="s">
        <v>206</v>
      </c>
      <c r="G748" s="241">
        <v>0.14000000000000001</v>
      </c>
      <c r="H748" s="241">
        <v>28.14</v>
      </c>
      <c r="I748" s="199" t="s">
        <v>1193</v>
      </c>
      <c r="J748" s="199">
        <f t="shared" si="68"/>
        <v>3.9396000000000004</v>
      </c>
      <c r="K748" s="199"/>
      <c r="L748" s="199"/>
      <c r="M748" s="199"/>
      <c r="N748" s="199"/>
      <c r="O748" s="199"/>
      <c r="P748" s="199"/>
      <c r="Q748" s="199"/>
    </row>
    <row r="749" spans="1:17" s="25" customFormat="1" x14ac:dyDescent="0.25">
      <c r="A749" s="163"/>
      <c r="B749" s="101"/>
      <c r="C749" s="101"/>
      <c r="D749" s="101"/>
      <c r="E749" s="102"/>
      <c r="F749" s="101"/>
      <c r="G749" s="96"/>
      <c r="H749" s="96"/>
      <c r="I749" s="96" t="s">
        <v>1193</v>
      </c>
      <c r="J749" s="96"/>
      <c r="K749" s="96"/>
      <c r="L749" s="96"/>
      <c r="M749" s="96"/>
      <c r="N749" s="96"/>
      <c r="O749" s="96"/>
      <c r="P749" s="96"/>
      <c r="Q749" s="96"/>
    </row>
    <row r="750" spans="1:17" s="25" customFormat="1" ht="31.9" customHeight="1" x14ac:dyDescent="0.25">
      <c r="A750" s="152" t="s">
        <v>22</v>
      </c>
      <c r="B750" s="153"/>
      <c r="C750" s="153">
        <v>102213</v>
      </c>
      <c r="D750" s="143" t="s">
        <v>568</v>
      </c>
      <c r="E750" s="158" t="s">
        <v>569</v>
      </c>
      <c r="F750" s="143" t="s">
        <v>33</v>
      </c>
      <c r="G750" s="146"/>
      <c r="H750" s="146"/>
      <c r="I750" s="146">
        <v>0.67</v>
      </c>
      <c r="J750" s="146">
        <f>SUM(J751:J753)</f>
        <v>9.2671199000000009</v>
      </c>
      <c r="K750" s="146">
        <f>SUM(K751:K753)</f>
        <v>8.5287050099999995</v>
      </c>
      <c r="L750" s="146">
        <f>J750+K750</f>
        <v>17.79582491</v>
      </c>
      <c r="M750" s="146">
        <f>J750*I750</f>
        <v>6.2089703330000008</v>
      </c>
      <c r="N750" s="146">
        <f>K750*I750</f>
        <v>5.7142323567000002</v>
      </c>
      <c r="O750" s="146">
        <f>M750+N750</f>
        <v>11.923202689700002</v>
      </c>
      <c r="P750" s="146">
        <f>O750*$P$1</f>
        <v>3.0594938101770204</v>
      </c>
      <c r="Q750" s="146">
        <f>P750+O750</f>
        <v>14.982696499877022</v>
      </c>
    </row>
    <row r="751" spans="1:17" s="25" customFormat="1" x14ac:dyDescent="0.25">
      <c r="A751" s="236" t="s">
        <v>22</v>
      </c>
      <c r="B751" s="201" t="s">
        <v>27</v>
      </c>
      <c r="C751" s="239">
        <v>88310</v>
      </c>
      <c r="D751" s="201"/>
      <c r="E751" s="237" t="s">
        <v>542</v>
      </c>
      <c r="F751" s="239" t="s">
        <v>29</v>
      </c>
      <c r="G751" s="225">
        <v>0.4718</v>
      </c>
      <c r="H751" s="203">
        <v>25.5</v>
      </c>
      <c r="I751" s="203" t="s">
        <v>1193</v>
      </c>
      <c r="J751" s="203">
        <f>0.291*H751*G751</f>
        <v>3.5009918999999998</v>
      </c>
      <c r="K751" s="203">
        <f>0.7089*H751*G751</f>
        <v>8.5287050099999995</v>
      </c>
      <c r="L751" s="203"/>
      <c r="M751" s="203"/>
      <c r="N751" s="203"/>
      <c r="O751" s="203"/>
      <c r="P751" s="203"/>
      <c r="Q751" s="203"/>
    </row>
    <row r="752" spans="1:17" s="25" customFormat="1" x14ac:dyDescent="0.25">
      <c r="A752" s="234" t="s">
        <v>22</v>
      </c>
      <c r="B752" s="197" t="s">
        <v>62</v>
      </c>
      <c r="C752" s="235">
        <v>5318</v>
      </c>
      <c r="D752" s="197"/>
      <c r="E752" s="238" t="s">
        <v>566</v>
      </c>
      <c r="F752" s="235" t="s">
        <v>206</v>
      </c>
      <c r="G752" s="241">
        <v>2.7099999999999999E-2</v>
      </c>
      <c r="H752" s="241">
        <v>13.6</v>
      </c>
      <c r="I752" s="199" t="s">
        <v>1193</v>
      </c>
      <c r="J752" s="199">
        <f t="shared" ref="J752:J753" si="69">H752*G752</f>
        <v>0.36856</v>
      </c>
      <c r="K752" s="199"/>
      <c r="L752" s="199"/>
      <c r="M752" s="199"/>
      <c r="N752" s="199"/>
      <c r="O752" s="199"/>
      <c r="P752" s="199"/>
      <c r="Q752" s="199"/>
    </row>
    <row r="753" spans="1:17" s="25" customFormat="1" x14ac:dyDescent="0.25">
      <c r="A753" s="236" t="s">
        <v>22</v>
      </c>
      <c r="B753" s="201" t="s">
        <v>62</v>
      </c>
      <c r="C753" s="239">
        <v>10481</v>
      </c>
      <c r="D753" s="201"/>
      <c r="E753" s="237" t="s">
        <v>570</v>
      </c>
      <c r="F753" s="239" t="s">
        <v>206</v>
      </c>
      <c r="G753" s="225">
        <v>0.1804</v>
      </c>
      <c r="H753" s="225">
        <v>29.92</v>
      </c>
      <c r="I753" s="203" t="s">
        <v>1193</v>
      </c>
      <c r="J753" s="203">
        <f t="shared" si="69"/>
        <v>5.3975680000000006</v>
      </c>
      <c r="K753" s="203"/>
      <c r="L753" s="203"/>
      <c r="M753" s="203"/>
      <c r="N753" s="203"/>
      <c r="O753" s="203"/>
      <c r="P753" s="203"/>
      <c r="Q753" s="203"/>
    </row>
    <row r="754" spans="1:17" s="25" customFormat="1" x14ac:dyDescent="0.25">
      <c r="A754" s="159"/>
      <c r="B754" s="160"/>
      <c r="C754" s="160"/>
      <c r="D754" s="160"/>
      <c r="E754" s="161"/>
      <c r="F754" s="160"/>
      <c r="G754" s="162"/>
      <c r="H754" s="162"/>
      <c r="I754" s="162" t="s">
        <v>1193</v>
      </c>
      <c r="J754" s="162"/>
      <c r="K754" s="162"/>
      <c r="L754" s="162"/>
      <c r="M754" s="162"/>
      <c r="N754" s="162"/>
      <c r="O754" s="162"/>
      <c r="P754" s="162"/>
      <c r="Q754" s="162"/>
    </row>
    <row r="755" spans="1:17" s="25" customFormat="1" ht="71.45" customHeight="1" x14ac:dyDescent="0.25">
      <c r="A755" s="152" t="s">
        <v>22</v>
      </c>
      <c r="B755" s="153"/>
      <c r="C755" s="153">
        <v>100754</v>
      </c>
      <c r="D755" s="143" t="s">
        <v>571</v>
      </c>
      <c r="E755" s="144" t="s">
        <v>572</v>
      </c>
      <c r="F755" s="143" t="s">
        <v>33</v>
      </c>
      <c r="G755" s="146"/>
      <c r="H755" s="146"/>
      <c r="I755" s="146">
        <v>0.67</v>
      </c>
      <c r="J755" s="146">
        <f>SUM(J756:J757)</f>
        <v>8.6298448499999996</v>
      </c>
      <c r="K755" s="146">
        <f>SUM(K756:K757)</f>
        <v>16.444601414999998</v>
      </c>
      <c r="L755" s="146">
        <f>J755+K755</f>
        <v>25.074446264999999</v>
      </c>
      <c r="M755" s="146">
        <f>J755*I755</f>
        <v>5.7819960495</v>
      </c>
      <c r="N755" s="146">
        <f>K755*I755</f>
        <v>11.01788294805</v>
      </c>
      <c r="O755" s="146">
        <f>M755+N755</f>
        <v>16.79987899755</v>
      </c>
      <c r="P755" s="146">
        <f>O755*$P$1</f>
        <v>4.3108489507713301</v>
      </c>
      <c r="Q755" s="146">
        <f>P755+O755</f>
        <v>21.11072794832133</v>
      </c>
    </row>
    <row r="756" spans="1:17" s="25" customFormat="1" x14ac:dyDescent="0.25">
      <c r="A756" s="234" t="s">
        <v>22</v>
      </c>
      <c r="B756" s="197" t="s">
        <v>27</v>
      </c>
      <c r="C756" s="235">
        <v>88310</v>
      </c>
      <c r="D756" s="235"/>
      <c r="E756" s="238" t="s">
        <v>542</v>
      </c>
      <c r="F756" s="235" t="s">
        <v>29</v>
      </c>
      <c r="G756" s="241">
        <v>0.90969999999999995</v>
      </c>
      <c r="H756" s="199">
        <v>25.5</v>
      </c>
      <c r="I756" s="199" t="s">
        <v>1193</v>
      </c>
      <c r="J756" s="199">
        <f>0.291*H756*G756</f>
        <v>6.7504288499999996</v>
      </c>
      <c r="K756" s="199">
        <f>0.7089*H756*G756</f>
        <v>16.444601414999998</v>
      </c>
      <c r="L756" s="199"/>
      <c r="M756" s="199"/>
      <c r="N756" s="199"/>
      <c r="O756" s="199"/>
      <c r="P756" s="199"/>
      <c r="Q756" s="199"/>
    </row>
    <row r="757" spans="1:17" s="25" customFormat="1" x14ac:dyDescent="0.25">
      <c r="A757" s="236" t="s">
        <v>22</v>
      </c>
      <c r="B757" s="201" t="s">
        <v>62</v>
      </c>
      <c r="C757" s="239">
        <v>7356</v>
      </c>
      <c r="D757" s="239"/>
      <c r="E757" s="237" t="s">
        <v>555</v>
      </c>
      <c r="F757" s="239" t="s">
        <v>206</v>
      </c>
      <c r="G757" s="225">
        <v>7.9200000000000007E-2</v>
      </c>
      <c r="H757" s="241">
        <v>23.73</v>
      </c>
      <c r="I757" s="203" t="s">
        <v>1193</v>
      </c>
      <c r="J757" s="203">
        <f>H757*G757</f>
        <v>1.8794160000000002</v>
      </c>
      <c r="K757" s="203"/>
      <c r="L757" s="203"/>
      <c r="M757" s="203"/>
      <c r="N757" s="203"/>
      <c r="O757" s="203"/>
      <c r="P757" s="203"/>
      <c r="Q757" s="203"/>
    </row>
    <row r="758" spans="1:17" s="25" customFormat="1" x14ac:dyDescent="0.25">
      <c r="A758" s="159"/>
      <c r="B758" s="160"/>
      <c r="C758" s="160"/>
      <c r="D758" s="160"/>
      <c r="E758" s="161"/>
      <c r="F758" s="160"/>
      <c r="G758" s="162"/>
      <c r="H758" s="162"/>
      <c r="I758" s="162" t="s">
        <v>1193</v>
      </c>
      <c r="J758" s="162"/>
      <c r="K758" s="162"/>
      <c r="L758" s="162"/>
      <c r="M758" s="162"/>
      <c r="N758" s="162"/>
      <c r="O758" s="162"/>
      <c r="P758" s="162"/>
      <c r="Q758" s="162"/>
    </row>
    <row r="759" spans="1:17" s="25" customFormat="1" ht="84.6" customHeight="1" x14ac:dyDescent="0.25">
      <c r="A759" s="152" t="s">
        <v>22</v>
      </c>
      <c r="B759" s="153"/>
      <c r="C759" s="153">
        <v>72815</v>
      </c>
      <c r="D759" s="143" t="s">
        <v>573</v>
      </c>
      <c r="E759" s="144" t="s">
        <v>574</v>
      </c>
      <c r="F759" s="143" t="s">
        <v>152</v>
      </c>
      <c r="G759" s="146"/>
      <c r="H759" s="146"/>
      <c r="I759" s="146">
        <v>0.67</v>
      </c>
      <c r="J759" s="146">
        <f>SUM(J760:J762)</f>
        <v>35.756329499999993</v>
      </c>
      <c r="K759" s="146">
        <f>SUM(K760:K762)</f>
        <v>15.496676999999998</v>
      </c>
      <c r="L759" s="146">
        <f>J759+K759</f>
        <v>51.253006499999991</v>
      </c>
      <c r="M759" s="146">
        <f>J759*I759</f>
        <v>23.956740764999996</v>
      </c>
      <c r="N759" s="146">
        <f>K759*I759</f>
        <v>10.382773589999999</v>
      </c>
      <c r="O759" s="146">
        <f>M759+N759</f>
        <v>34.339514354999991</v>
      </c>
      <c r="P759" s="146">
        <f>O759*$P$1</f>
        <v>8.8115193834929979</v>
      </c>
      <c r="Q759" s="146">
        <f>P759+O759</f>
        <v>43.151033738492991</v>
      </c>
    </row>
    <row r="760" spans="1:17" s="25" customFormat="1" x14ac:dyDescent="0.25">
      <c r="A760" s="234" t="s">
        <v>22</v>
      </c>
      <c r="B760" s="197" t="s">
        <v>27</v>
      </c>
      <c r="C760" s="235">
        <v>88316</v>
      </c>
      <c r="D760" s="197"/>
      <c r="E760" s="238" t="s">
        <v>30</v>
      </c>
      <c r="F760" s="235" t="s">
        <v>29</v>
      </c>
      <c r="G760" s="241">
        <v>0.5</v>
      </c>
      <c r="H760" s="203">
        <v>18.899999999999999</v>
      </c>
      <c r="I760" s="199" t="s">
        <v>1193</v>
      </c>
      <c r="J760" s="199">
        <f>0.3242*H760*G760</f>
        <v>3.0636899999999998</v>
      </c>
      <c r="K760" s="199">
        <f>0.6758*H760*G760</f>
        <v>6.386309999999999</v>
      </c>
      <c r="L760" s="199"/>
      <c r="M760" s="199"/>
      <c r="N760" s="199"/>
      <c r="O760" s="199"/>
      <c r="P760" s="199"/>
      <c r="Q760" s="199"/>
    </row>
    <row r="761" spans="1:17" s="25" customFormat="1" x14ac:dyDescent="0.25">
      <c r="A761" s="236" t="s">
        <v>22</v>
      </c>
      <c r="B761" s="201" t="s">
        <v>27</v>
      </c>
      <c r="C761" s="239">
        <v>88309</v>
      </c>
      <c r="D761" s="201"/>
      <c r="E761" s="237" t="s">
        <v>65</v>
      </c>
      <c r="F761" s="239" t="s">
        <v>29</v>
      </c>
      <c r="G761" s="225">
        <v>0.5</v>
      </c>
      <c r="H761" s="203">
        <v>24.51</v>
      </c>
      <c r="I761" s="203" t="s">
        <v>1193</v>
      </c>
      <c r="J761" s="203">
        <f>0.2565*H761*G761</f>
        <v>3.1434075000000004</v>
      </c>
      <c r="K761" s="203">
        <f>0.7434*H761*G761</f>
        <v>9.1103670000000001</v>
      </c>
      <c r="L761" s="203"/>
      <c r="M761" s="203"/>
      <c r="N761" s="203"/>
      <c r="O761" s="203"/>
      <c r="P761" s="203"/>
      <c r="Q761" s="203"/>
    </row>
    <row r="762" spans="1:17" s="25" customFormat="1" x14ac:dyDescent="0.25">
      <c r="A762" s="234" t="s">
        <v>22</v>
      </c>
      <c r="B762" s="197" t="s">
        <v>62</v>
      </c>
      <c r="C762" s="235">
        <v>7304</v>
      </c>
      <c r="D762" s="197"/>
      <c r="E762" s="238" t="s">
        <v>575</v>
      </c>
      <c r="F762" s="235" t="s">
        <v>206</v>
      </c>
      <c r="G762" s="241">
        <v>0.52559999999999996</v>
      </c>
      <c r="H762" s="241">
        <v>56.22</v>
      </c>
      <c r="I762" s="199" t="s">
        <v>1193</v>
      </c>
      <c r="J762" s="199">
        <f>H762*G762</f>
        <v>29.549231999999996</v>
      </c>
      <c r="K762" s="199"/>
      <c r="L762" s="199"/>
      <c r="M762" s="199"/>
      <c r="N762" s="199"/>
      <c r="O762" s="199"/>
      <c r="P762" s="199"/>
      <c r="Q762" s="199"/>
    </row>
    <row r="763" spans="1:17" s="25" customFormat="1" x14ac:dyDescent="0.25">
      <c r="A763" s="163"/>
      <c r="B763" s="101"/>
      <c r="C763" s="101"/>
      <c r="D763" s="101"/>
      <c r="E763" s="102"/>
      <c r="F763" s="101"/>
      <c r="G763" s="96"/>
      <c r="H763" s="96"/>
      <c r="I763" s="96" t="s">
        <v>1193</v>
      </c>
      <c r="J763" s="96"/>
      <c r="K763" s="96"/>
      <c r="L763" s="96"/>
      <c r="M763" s="96"/>
      <c r="N763" s="96"/>
      <c r="O763" s="96"/>
      <c r="P763" s="96"/>
      <c r="Q763" s="96"/>
    </row>
    <row r="764" spans="1:17" s="25" customFormat="1" ht="15.75" x14ac:dyDescent="0.25">
      <c r="A764" s="136"/>
      <c r="B764" s="97"/>
      <c r="C764" s="97"/>
      <c r="D764" s="97">
        <v>12</v>
      </c>
      <c r="E764" s="98" t="s">
        <v>576</v>
      </c>
      <c r="F764" s="97"/>
      <c r="G764" s="97"/>
      <c r="H764" s="330"/>
      <c r="I764" s="97" t="s">
        <v>1193</v>
      </c>
      <c r="J764" s="330"/>
      <c r="K764" s="330"/>
      <c r="L764" s="330"/>
      <c r="M764" s="330"/>
      <c r="N764" s="330"/>
      <c r="O764" s="330"/>
      <c r="P764" s="330"/>
      <c r="Q764" s="330">
        <f>SUM(Q766:Q804)</f>
        <v>8745.4310776374223</v>
      </c>
    </row>
    <row r="765" spans="1:17" s="25" customFormat="1" x14ac:dyDescent="0.25">
      <c r="A765" s="163"/>
      <c r="B765" s="101"/>
      <c r="C765" s="101"/>
      <c r="D765" s="101"/>
      <c r="E765" s="102"/>
      <c r="F765" s="101"/>
      <c r="G765" s="96"/>
      <c r="H765" s="96"/>
      <c r="I765" s="96" t="s">
        <v>1193</v>
      </c>
      <c r="J765" s="96"/>
      <c r="K765" s="96"/>
      <c r="L765" s="96"/>
      <c r="M765" s="96"/>
      <c r="N765" s="96"/>
      <c r="O765" s="96"/>
      <c r="P765" s="96"/>
      <c r="Q765" s="96"/>
    </row>
    <row r="766" spans="1:17" s="25" customFormat="1" ht="67.150000000000006" customHeight="1" x14ac:dyDescent="0.25">
      <c r="A766" s="149" t="s">
        <v>183</v>
      </c>
      <c r="B766" s="148"/>
      <c r="C766" s="148" t="s">
        <v>577</v>
      </c>
      <c r="D766" s="143" t="s">
        <v>578</v>
      </c>
      <c r="E766" s="144" t="s">
        <v>579</v>
      </c>
      <c r="F766" s="143" t="s">
        <v>1215</v>
      </c>
      <c r="G766" s="146"/>
      <c r="H766" s="146"/>
      <c r="I766" s="146">
        <v>1</v>
      </c>
      <c r="J766" s="146">
        <f>SUM(J767:J777)</f>
        <v>1979.7716484000002</v>
      </c>
      <c r="K766" s="146">
        <f>SUM(K767:K777)</f>
        <v>297.52152899999999</v>
      </c>
      <c r="L766" s="146">
        <f>J766+K766</f>
        <v>2277.2931774000003</v>
      </c>
      <c r="M766" s="146">
        <f>J766*I766</f>
        <v>1979.7716484000002</v>
      </c>
      <c r="N766" s="146">
        <f>K766*I766</f>
        <v>297.52152899999999</v>
      </c>
      <c r="O766" s="146">
        <f>M766+N766</f>
        <v>2277.2931774000003</v>
      </c>
      <c r="P766" s="146">
        <f>O766*$P$1</f>
        <v>584.35342932084006</v>
      </c>
      <c r="Q766" s="146">
        <f>P766+O766</f>
        <v>2861.6466067208403</v>
      </c>
    </row>
    <row r="767" spans="1:17" s="25" customFormat="1" ht="37.9" customHeight="1" x14ac:dyDescent="0.25">
      <c r="A767" s="196" t="s">
        <v>35</v>
      </c>
      <c r="B767" s="197"/>
      <c r="C767" s="247"/>
      <c r="D767" s="247"/>
      <c r="E767" s="343" t="s">
        <v>579</v>
      </c>
      <c r="F767" s="197" t="s">
        <v>580</v>
      </c>
      <c r="G767" s="199">
        <v>0.2</v>
      </c>
      <c r="H767" s="199">
        <f>SUM(J772:J777)</f>
        <v>1564.0820899999999</v>
      </c>
      <c r="I767" s="199" t="s">
        <v>1193</v>
      </c>
      <c r="J767" s="199">
        <f>G767*H767</f>
        <v>312.816418</v>
      </c>
      <c r="K767" s="199"/>
      <c r="L767" s="199"/>
      <c r="M767" s="199"/>
      <c r="N767" s="199"/>
      <c r="O767" s="199"/>
      <c r="P767" s="199"/>
      <c r="Q767" s="199"/>
    </row>
    <row r="768" spans="1:17" s="25" customFormat="1" x14ac:dyDescent="0.25">
      <c r="A768" s="196" t="s">
        <v>22</v>
      </c>
      <c r="B768" s="197" t="s">
        <v>27</v>
      </c>
      <c r="C768" s="247">
        <v>88248</v>
      </c>
      <c r="D768" s="247"/>
      <c r="E768" s="215" t="s">
        <v>513</v>
      </c>
      <c r="F768" s="197" t="s">
        <v>29</v>
      </c>
      <c r="G768" s="199">
        <v>3</v>
      </c>
      <c r="H768" s="199">
        <v>18.57</v>
      </c>
      <c r="I768" s="199" t="s">
        <v>1193</v>
      </c>
      <c r="J768" s="199">
        <f>0.31064*H768*G768</f>
        <v>17.305754400000001</v>
      </c>
      <c r="K768" s="199">
        <f>0.6895*H768*G768</f>
        <v>38.412044999999999</v>
      </c>
      <c r="L768" s="199"/>
      <c r="M768" s="199"/>
      <c r="N768" s="199"/>
      <c r="O768" s="199"/>
      <c r="P768" s="199"/>
      <c r="Q768" s="199"/>
    </row>
    <row r="769" spans="1:17" s="25" customFormat="1" x14ac:dyDescent="0.25">
      <c r="A769" s="200" t="s">
        <v>22</v>
      </c>
      <c r="B769" s="201" t="s">
        <v>27</v>
      </c>
      <c r="C769" s="248">
        <v>88267</v>
      </c>
      <c r="D769" s="248"/>
      <c r="E769" s="249" t="s">
        <v>581</v>
      </c>
      <c r="F769" s="201" t="s">
        <v>29</v>
      </c>
      <c r="G769" s="203">
        <v>3</v>
      </c>
      <c r="H769" s="203">
        <v>24.02</v>
      </c>
      <c r="I769" s="203" t="s">
        <v>1193</v>
      </c>
      <c r="J769" s="203">
        <f>0.2417*H769*G769</f>
        <v>17.416902</v>
      </c>
      <c r="K769" s="203">
        <f>0.7582*H769*G769</f>
        <v>54.635891999999998</v>
      </c>
      <c r="L769" s="203"/>
      <c r="M769" s="203"/>
      <c r="N769" s="203"/>
      <c r="O769" s="203"/>
      <c r="P769" s="203"/>
      <c r="Q769" s="203"/>
    </row>
    <row r="770" spans="1:17" s="25" customFormat="1" x14ac:dyDescent="0.25">
      <c r="A770" s="196" t="s">
        <v>22</v>
      </c>
      <c r="B770" s="197" t="s">
        <v>27</v>
      </c>
      <c r="C770" s="247">
        <v>88277</v>
      </c>
      <c r="D770" s="247"/>
      <c r="E770" s="215" t="s">
        <v>582</v>
      </c>
      <c r="F770" s="197" t="s">
        <v>29</v>
      </c>
      <c r="G770" s="199">
        <v>6</v>
      </c>
      <c r="H770" s="199">
        <v>26.54</v>
      </c>
      <c r="I770" s="199" t="s">
        <v>1193</v>
      </c>
      <c r="J770" s="199">
        <f>0.1971*H770*G770</f>
        <v>31.386203999999999</v>
      </c>
      <c r="K770" s="199">
        <f>0.8028*H770*G770</f>
        <v>127.83787199999999</v>
      </c>
      <c r="L770" s="199"/>
      <c r="M770" s="199"/>
      <c r="N770" s="199"/>
      <c r="O770" s="199"/>
      <c r="P770" s="199"/>
      <c r="Q770" s="199"/>
    </row>
    <row r="771" spans="1:17" s="25" customFormat="1" x14ac:dyDescent="0.25">
      <c r="A771" s="200" t="s">
        <v>22</v>
      </c>
      <c r="B771" s="201" t="s">
        <v>27</v>
      </c>
      <c r="C771" s="248">
        <v>88316</v>
      </c>
      <c r="D771" s="248"/>
      <c r="E771" s="249" t="s">
        <v>30</v>
      </c>
      <c r="F771" s="201" t="s">
        <v>29</v>
      </c>
      <c r="G771" s="203">
        <v>6</v>
      </c>
      <c r="H771" s="203">
        <v>18.899999999999999</v>
      </c>
      <c r="I771" s="203" t="s">
        <v>1193</v>
      </c>
      <c r="J771" s="203">
        <f>0.3242*H771*G771</f>
        <v>36.764279999999999</v>
      </c>
      <c r="K771" s="203">
        <f>0.6758*H771*G771</f>
        <v>76.635719999999992</v>
      </c>
      <c r="L771" s="203"/>
      <c r="M771" s="203"/>
      <c r="N771" s="203"/>
      <c r="O771" s="203"/>
      <c r="P771" s="203"/>
      <c r="Q771" s="203"/>
    </row>
    <row r="772" spans="1:17" s="25" customFormat="1" ht="30" x14ac:dyDescent="0.25">
      <c r="A772" s="196" t="s">
        <v>22</v>
      </c>
      <c r="B772" s="197" t="s">
        <v>62</v>
      </c>
      <c r="C772" s="247">
        <v>39664</v>
      </c>
      <c r="D772" s="247"/>
      <c r="E772" s="207" t="s">
        <v>583</v>
      </c>
      <c r="F772" s="197" t="s">
        <v>39</v>
      </c>
      <c r="G772" s="199">
        <v>15</v>
      </c>
      <c r="H772" s="199">
        <v>31.04</v>
      </c>
      <c r="I772" s="199" t="s">
        <v>1193</v>
      </c>
      <c r="J772" s="199">
        <f t="shared" ref="J772:J777" si="70">G772*H772</f>
        <v>465.59999999999997</v>
      </c>
      <c r="K772" s="199"/>
      <c r="L772" s="199"/>
      <c r="M772" s="199"/>
      <c r="N772" s="199"/>
      <c r="O772" s="199"/>
      <c r="P772" s="199"/>
      <c r="Q772" s="199"/>
    </row>
    <row r="773" spans="1:17" s="25" customFormat="1" ht="30" x14ac:dyDescent="0.25">
      <c r="A773" s="200" t="s">
        <v>22</v>
      </c>
      <c r="B773" s="201" t="s">
        <v>62</v>
      </c>
      <c r="C773" s="248">
        <v>39665</v>
      </c>
      <c r="D773" s="248"/>
      <c r="E773" s="204" t="s">
        <v>584</v>
      </c>
      <c r="F773" s="201" t="s">
        <v>39</v>
      </c>
      <c r="G773" s="203">
        <v>15</v>
      </c>
      <c r="H773" s="199">
        <v>52.39</v>
      </c>
      <c r="I773" s="203" t="s">
        <v>1193</v>
      </c>
      <c r="J773" s="203">
        <f t="shared" si="70"/>
        <v>785.85</v>
      </c>
      <c r="K773" s="203"/>
      <c r="L773" s="203"/>
      <c r="M773" s="203"/>
      <c r="N773" s="203"/>
      <c r="O773" s="203"/>
      <c r="P773" s="203"/>
      <c r="Q773" s="203"/>
    </row>
    <row r="774" spans="1:17" s="25" customFormat="1" x14ac:dyDescent="0.25">
      <c r="A774" s="196" t="s">
        <v>22</v>
      </c>
      <c r="B774" s="197" t="s">
        <v>62</v>
      </c>
      <c r="C774" s="247">
        <v>39897</v>
      </c>
      <c r="D774" s="247"/>
      <c r="E774" s="207" t="s">
        <v>585</v>
      </c>
      <c r="F774" s="197" t="s">
        <v>1215</v>
      </c>
      <c r="G774" s="199">
        <v>2.1000000000000001E-2</v>
      </c>
      <c r="H774" s="203">
        <v>55.39</v>
      </c>
      <c r="I774" s="199" t="s">
        <v>1193</v>
      </c>
      <c r="J774" s="199">
        <f t="shared" si="70"/>
        <v>1.1631900000000002</v>
      </c>
      <c r="K774" s="199"/>
      <c r="L774" s="199"/>
      <c r="M774" s="199"/>
      <c r="N774" s="199"/>
      <c r="O774" s="199"/>
      <c r="P774" s="199"/>
      <c r="Q774" s="199"/>
    </row>
    <row r="775" spans="1:17" s="25" customFormat="1" x14ac:dyDescent="0.25">
      <c r="A775" s="200" t="s">
        <v>22</v>
      </c>
      <c r="B775" s="201" t="s">
        <v>62</v>
      </c>
      <c r="C775" s="201">
        <v>39711</v>
      </c>
      <c r="D775" s="201"/>
      <c r="E775" s="202" t="s">
        <v>586</v>
      </c>
      <c r="F775" s="201" t="s">
        <v>39</v>
      </c>
      <c r="G775" s="203">
        <v>30</v>
      </c>
      <c r="H775" s="199">
        <v>3.99</v>
      </c>
      <c r="I775" s="203" t="s">
        <v>1193</v>
      </c>
      <c r="J775" s="203">
        <f t="shared" si="70"/>
        <v>119.7</v>
      </c>
      <c r="K775" s="203"/>
      <c r="L775" s="203"/>
      <c r="M775" s="203"/>
      <c r="N775" s="203"/>
      <c r="O775" s="203"/>
      <c r="P775" s="203"/>
      <c r="Q775" s="203"/>
    </row>
    <row r="776" spans="1:17" s="25" customFormat="1" x14ac:dyDescent="0.25">
      <c r="A776" s="196" t="s">
        <v>22</v>
      </c>
      <c r="B776" s="197" t="s">
        <v>62</v>
      </c>
      <c r="C776" s="197">
        <v>34624</v>
      </c>
      <c r="D776" s="197"/>
      <c r="E776" s="215" t="s">
        <v>587</v>
      </c>
      <c r="F776" s="197" t="s">
        <v>39</v>
      </c>
      <c r="G776" s="199">
        <v>15</v>
      </c>
      <c r="H776" s="199">
        <v>9.36</v>
      </c>
      <c r="I776" s="199" t="s">
        <v>1193</v>
      </c>
      <c r="J776" s="199">
        <f t="shared" si="70"/>
        <v>140.39999999999998</v>
      </c>
      <c r="K776" s="199"/>
      <c r="L776" s="199"/>
      <c r="M776" s="199"/>
      <c r="N776" s="199"/>
      <c r="O776" s="199"/>
      <c r="P776" s="199"/>
      <c r="Q776" s="199"/>
    </row>
    <row r="777" spans="1:17" s="25" customFormat="1" x14ac:dyDescent="0.25">
      <c r="A777" s="200" t="s">
        <v>22</v>
      </c>
      <c r="B777" s="201" t="s">
        <v>62</v>
      </c>
      <c r="C777" s="201">
        <v>12732</v>
      </c>
      <c r="D777" s="201"/>
      <c r="E777" s="202" t="s">
        <v>588</v>
      </c>
      <c r="F777" s="201" t="s">
        <v>1215</v>
      </c>
      <c r="G777" s="203">
        <v>0.17</v>
      </c>
      <c r="H777" s="199">
        <v>302.17</v>
      </c>
      <c r="I777" s="203" t="s">
        <v>1193</v>
      </c>
      <c r="J777" s="203">
        <f t="shared" si="70"/>
        <v>51.368900000000004</v>
      </c>
      <c r="K777" s="203"/>
      <c r="L777" s="203"/>
      <c r="M777" s="203"/>
      <c r="N777" s="203"/>
      <c r="O777" s="203"/>
      <c r="P777" s="203"/>
      <c r="Q777" s="203"/>
    </row>
    <row r="778" spans="1:17" s="25" customFormat="1" x14ac:dyDescent="0.25">
      <c r="A778" s="159"/>
      <c r="B778" s="160"/>
      <c r="C778" s="160"/>
      <c r="D778" s="160"/>
      <c r="E778" s="161"/>
      <c r="F778" s="160"/>
      <c r="G778" s="162"/>
      <c r="H778" s="162"/>
      <c r="I778" s="162" t="s">
        <v>1193</v>
      </c>
      <c r="J778" s="162"/>
      <c r="K778" s="162"/>
      <c r="L778" s="162"/>
      <c r="M778" s="162"/>
      <c r="N778" s="162"/>
      <c r="O778" s="162"/>
      <c r="P778" s="162"/>
      <c r="Q778" s="162"/>
    </row>
    <row r="779" spans="1:17" s="25" customFormat="1" ht="83.45" customHeight="1" x14ac:dyDescent="0.25">
      <c r="A779" s="149" t="s">
        <v>183</v>
      </c>
      <c r="B779" s="148"/>
      <c r="C779" s="148" t="s">
        <v>577</v>
      </c>
      <c r="D779" s="143" t="s">
        <v>589</v>
      </c>
      <c r="E779" s="144" t="s">
        <v>590</v>
      </c>
      <c r="F779" s="143" t="s">
        <v>1215</v>
      </c>
      <c r="G779" s="146"/>
      <c r="H779" s="146"/>
      <c r="I779" s="146">
        <v>1</v>
      </c>
      <c r="J779" s="146">
        <f>SUM(J780:J790)</f>
        <v>3281.2796484</v>
      </c>
      <c r="K779" s="146">
        <f>SUM(K780:K790)</f>
        <v>297.52152899999999</v>
      </c>
      <c r="L779" s="146">
        <f>J779+K779</f>
        <v>3578.8011774000001</v>
      </c>
      <c r="M779" s="146">
        <f>J779*I779</f>
        <v>3281.2796484</v>
      </c>
      <c r="N779" s="146">
        <f>K779*I779</f>
        <v>297.52152899999999</v>
      </c>
      <c r="O779" s="146">
        <f>M779+N779</f>
        <v>3578.8011774000001</v>
      </c>
      <c r="P779" s="146">
        <f>O779*$P$1</f>
        <v>918.32038212084001</v>
      </c>
      <c r="Q779" s="146">
        <f>P779+O779</f>
        <v>4497.1215595208405</v>
      </c>
    </row>
    <row r="780" spans="1:17" s="25" customFormat="1" ht="30" x14ac:dyDescent="0.25">
      <c r="A780" s="133" t="s">
        <v>35</v>
      </c>
      <c r="B780" s="89"/>
      <c r="C780" s="89"/>
      <c r="D780" s="89"/>
      <c r="E780" s="100" t="s">
        <v>579</v>
      </c>
      <c r="F780" s="89" t="s">
        <v>580</v>
      </c>
      <c r="G780" s="91">
        <v>0.2</v>
      </c>
      <c r="H780" s="91">
        <f>SUM(J785:J790)</f>
        <v>2648.67209</v>
      </c>
      <c r="I780" s="91" t="s">
        <v>1193</v>
      </c>
      <c r="J780" s="91">
        <f>G780*H780</f>
        <v>529.73441800000001</v>
      </c>
      <c r="K780" s="91"/>
      <c r="L780" s="91"/>
      <c r="M780" s="91"/>
      <c r="N780" s="91"/>
      <c r="O780" s="91"/>
      <c r="P780" s="91"/>
      <c r="Q780" s="91"/>
    </row>
    <row r="781" spans="1:17" s="25" customFormat="1" x14ac:dyDescent="0.25">
      <c r="A781" s="200" t="s">
        <v>22</v>
      </c>
      <c r="B781" s="201" t="s">
        <v>27</v>
      </c>
      <c r="C781" s="248">
        <v>88248</v>
      </c>
      <c r="D781" s="248"/>
      <c r="E781" s="249" t="s">
        <v>513</v>
      </c>
      <c r="F781" s="201" t="s">
        <v>29</v>
      </c>
      <c r="G781" s="203">
        <v>3</v>
      </c>
      <c r="H781" s="203">
        <v>18.57</v>
      </c>
      <c r="I781" s="203" t="s">
        <v>1193</v>
      </c>
      <c r="J781" s="203">
        <f>0.31064*H781*G781</f>
        <v>17.305754400000001</v>
      </c>
      <c r="K781" s="203">
        <f>0.6895*H781*G781</f>
        <v>38.412044999999999</v>
      </c>
      <c r="L781" s="203"/>
      <c r="M781" s="203"/>
      <c r="N781" s="203"/>
      <c r="O781" s="203"/>
      <c r="P781" s="203"/>
      <c r="Q781" s="203"/>
    </row>
    <row r="782" spans="1:17" s="25" customFormat="1" x14ac:dyDescent="0.25">
      <c r="A782" s="196" t="s">
        <v>22</v>
      </c>
      <c r="B782" s="197" t="s">
        <v>27</v>
      </c>
      <c r="C782" s="247">
        <v>88267</v>
      </c>
      <c r="D782" s="247"/>
      <c r="E782" s="215" t="s">
        <v>581</v>
      </c>
      <c r="F782" s="197" t="s">
        <v>29</v>
      </c>
      <c r="G782" s="199">
        <v>3</v>
      </c>
      <c r="H782" s="199">
        <v>24.02</v>
      </c>
      <c r="I782" s="199" t="s">
        <v>1193</v>
      </c>
      <c r="J782" s="199">
        <f>0.2417*H782*G782</f>
        <v>17.416902</v>
      </c>
      <c r="K782" s="199">
        <f>0.7582*H782*G782</f>
        <v>54.635891999999998</v>
      </c>
      <c r="L782" s="199"/>
      <c r="M782" s="199"/>
      <c r="N782" s="199"/>
      <c r="O782" s="199"/>
      <c r="P782" s="199"/>
      <c r="Q782" s="199"/>
    </row>
    <row r="783" spans="1:17" s="25" customFormat="1" x14ac:dyDescent="0.25">
      <c r="A783" s="200" t="s">
        <v>22</v>
      </c>
      <c r="B783" s="201" t="s">
        <v>27</v>
      </c>
      <c r="C783" s="248">
        <v>88277</v>
      </c>
      <c r="D783" s="248"/>
      <c r="E783" s="249" t="s">
        <v>582</v>
      </c>
      <c r="F783" s="201" t="s">
        <v>29</v>
      </c>
      <c r="G783" s="203">
        <v>6</v>
      </c>
      <c r="H783" s="203">
        <v>26.54</v>
      </c>
      <c r="I783" s="203" t="s">
        <v>1193</v>
      </c>
      <c r="J783" s="203">
        <f>0.1971*H783*G783</f>
        <v>31.386203999999999</v>
      </c>
      <c r="K783" s="203">
        <f>0.8028*H783*G783</f>
        <v>127.83787199999999</v>
      </c>
      <c r="L783" s="203"/>
      <c r="M783" s="203"/>
      <c r="N783" s="203"/>
      <c r="O783" s="203"/>
      <c r="P783" s="203"/>
      <c r="Q783" s="203"/>
    </row>
    <row r="784" spans="1:17" s="25" customFormat="1" x14ac:dyDescent="0.25">
      <c r="A784" s="196" t="s">
        <v>22</v>
      </c>
      <c r="B784" s="197" t="s">
        <v>27</v>
      </c>
      <c r="C784" s="247">
        <v>88316</v>
      </c>
      <c r="D784" s="247"/>
      <c r="E784" s="215" t="s">
        <v>30</v>
      </c>
      <c r="F784" s="197" t="s">
        <v>29</v>
      </c>
      <c r="G784" s="199">
        <v>6</v>
      </c>
      <c r="H784" s="203">
        <v>18.899999999999999</v>
      </c>
      <c r="I784" s="199" t="s">
        <v>1193</v>
      </c>
      <c r="J784" s="199">
        <f>0.3242*H784*G784</f>
        <v>36.764279999999999</v>
      </c>
      <c r="K784" s="199">
        <f>0.6758*H784*G784</f>
        <v>76.635719999999992</v>
      </c>
      <c r="L784" s="199"/>
      <c r="M784" s="199"/>
      <c r="N784" s="199"/>
      <c r="O784" s="199"/>
      <c r="P784" s="199"/>
      <c r="Q784" s="199"/>
    </row>
    <row r="785" spans="1:17" s="25" customFormat="1" ht="30" x14ac:dyDescent="0.25">
      <c r="A785" s="200" t="s">
        <v>22</v>
      </c>
      <c r="B785" s="201" t="s">
        <v>62</v>
      </c>
      <c r="C785" s="248">
        <v>39664</v>
      </c>
      <c r="D785" s="248"/>
      <c r="E785" s="204" t="s">
        <v>583</v>
      </c>
      <c r="F785" s="201" t="s">
        <v>39</v>
      </c>
      <c r="G785" s="203">
        <v>28</v>
      </c>
      <c r="H785" s="199">
        <v>31.04</v>
      </c>
      <c r="I785" s="203" t="s">
        <v>1193</v>
      </c>
      <c r="J785" s="203">
        <f t="shared" ref="J785:J790" si="71">G785*H785</f>
        <v>869.12</v>
      </c>
      <c r="K785" s="203"/>
      <c r="L785" s="203"/>
      <c r="M785" s="203"/>
      <c r="N785" s="203"/>
      <c r="O785" s="203"/>
      <c r="P785" s="203"/>
      <c r="Q785" s="203"/>
    </row>
    <row r="786" spans="1:17" s="25" customFormat="1" ht="30" x14ac:dyDescent="0.25">
      <c r="A786" s="196" t="s">
        <v>22</v>
      </c>
      <c r="B786" s="197" t="s">
        <v>62</v>
      </c>
      <c r="C786" s="247">
        <v>39665</v>
      </c>
      <c r="D786" s="247"/>
      <c r="E786" s="207" t="s">
        <v>584</v>
      </c>
      <c r="F786" s="197" t="s">
        <v>39</v>
      </c>
      <c r="G786" s="199">
        <v>28</v>
      </c>
      <c r="H786" s="199">
        <v>52.39</v>
      </c>
      <c r="I786" s="199" t="s">
        <v>1193</v>
      </c>
      <c r="J786" s="199">
        <f t="shared" si="71"/>
        <v>1466.92</v>
      </c>
      <c r="K786" s="199"/>
      <c r="L786" s="199"/>
      <c r="M786" s="199"/>
      <c r="N786" s="199"/>
      <c r="O786" s="199"/>
      <c r="P786" s="199"/>
      <c r="Q786" s="199"/>
    </row>
    <row r="787" spans="1:17" s="25" customFormat="1" x14ac:dyDescent="0.25">
      <c r="A787" s="200" t="s">
        <v>22</v>
      </c>
      <c r="B787" s="201" t="s">
        <v>62</v>
      </c>
      <c r="C787" s="248">
        <v>39897</v>
      </c>
      <c r="D787" s="248"/>
      <c r="E787" s="204" t="s">
        <v>585</v>
      </c>
      <c r="F787" s="201" t="s">
        <v>1215</v>
      </c>
      <c r="G787" s="203">
        <v>2.1000000000000001E-2</v>
      </c>
      <c r="H787" s="203">
        <v>55.39</v>
      </c>
      <c r="I787" s="203" t="s">
        <v>1193</v>
      </c>
      <c r="J787" s="203">
        <f t="shared" si="71"/>
        <v>1.1631900000000002</v>
      </c>
      <c r="K787" s="203"/>
      <c r="L787" s="203"/>
      <c r="M787" s="203"/>
      <c r="N787" s="203"/>
      <c r="O787" s="203"/>
      <c r="P787" s="203"/>
      <c r="Q787" s="203"/>
    </row>
    <row r="788" spans="1:17" s="25" customFormat="1" x14ac:dyDescent="0.25">
      <c r="A788" s="196" t="s">
        <v>22</v>
      </c>
      <c r="B788" s="197" t="s">
        <v>62</v>
      </c>
      <c r="C788" s="197">
        <v>39711</v>
      </c>
      <c r="D788" s="197"/>
      <c r="E788" s="198" t="s">
        <v>586</v>
      </c>
      <c r="F788" s="197" t="s">
        <v>39</v>
      </c>
      <c r="G788" s="199">
        <v>30</v>
      </c>
      <c r="H788" s="199">
        <v>3.99</v>
      </c>
      <c r="I788" s="199" t="s">
        <v>1193</v>
      </c>
      <c r="J788" s="199">
        <f t="shared" si="71"/>
        <v>119.7</v>
      </c>
      <c r="K788" s="199"/>
      <c r="L788" s="199"/>
      <c r="M788" s="199"/>
      <c r="N788" s="199"/>
      <c r="O788" s="199"/>
      <c r="P788" s="199"/>
      <c r="Q788" s="199"/>
    </row>
    <row r="789" spans="1:17" s="25" customFormat="1" x14ac:dyDescent="0.25">
      <c r="A789" s="200" t="s">
        <v>22</v>
      </c>
      <c r="B789" s="201" t="s">
        <v>62</v>
      </c>
      <c r="C789" s="201">
        <v>34624</v>
      </c>
      <c r="D789" s="201"/>
      <c r="E789" s="249" t="s">
        <v>587</v>
      </c>
      <c r="F789" s="201" t="s">
        <v>39</v>
      </c>
      <c r="G789" s="203">
        <v>15</v>
      </c>
      <c r="H789" s="203">
        <v>9.36</v>
      </c>
      <c r="I789" s="203" t="s">
        <v>1193</v>
      </c>
      <c r="J789" s="203">
        <f t="shared" si="71"/>
        <v>140.39999999999998</v>
      </c>
      <c r="K789" s="203"/>
      <c r="L789" s="203"/>
      <c r="M789" s="203"/>
      <c r="N789" s="203"/>
      <c r="O789" s="203"/>
      <c r="P789" s="203"/>
      <c r="Q789" s="203"/>
    </row>
    <row r="790" spans="1:17" s="25" customFormat="1" x14ac:dyDescent="0.25">
      <c r="A790" s="196" t="s">
        <v>22</v>
      </c>
      <c r="B790" s="197" t="s">
        <v>62</v>
      </c>
      <c r="C790" s="197">
        <v>12732</v>
      </c>
      <c r="D790" s="197"/>
      <c r="E790" s="198" t="s">
        <v>588</v>
      </c>
      <c r="F790" s="197" t="s">
        <v>1215</v>
      </c>
      <c r="G790" s="199">
        <v>0.17</v>
      </c>
      <c r="H790" s="199">
        <v>302.17</v>
      </c>
      <c r="I790" s="199" t="s">
        <v>1193</v>
      </c>
      <c r="J790" s="199">
        <f t="shared" si="71"/>
        <v>51.368900000000004</v>
      </c>
      <c r="K790" s="199"/>
      <c r="L790" s="199"/>
      <c r="M790" s="199"/>
      <c r="N790" s="199"/>
      <c r="O790" s="199"/>
      <c r="P790" s="199"/>
      <c r="Q790" s="199"/>
    </row>
    <row r="791" spans="1:17" s="25" customFormat="1" x14ac:dyDescent="0.25">
      <c r="A791" s="163"/>
      <c r="B791" s="101"/>
      <c r="C791" s="101"/>
      <c r="D791" s="101"/>
      <c r="E791" s="102"/>
      <c r="F791" s="101"/>
      <c r="G791" s="96"/>
      <c r="H791" s="96"/>
      <c r="I791" s="96" t="s">
        <v>1193</v>
      </c>
      <c r="J791" s="96"/>
      <c r="K791" s="96"/>
      <c r="L791" s="96"/>
      <c r="M791" s="96"/>
      <c r="N791" s="96"/>
      <c r="O791" s="96"/>
      <c r="P791" s="96"/>
      <c r="Q791" s="96"/>
    </row>
    <row r="792" spans="1:17" s="25" customFormat="1" ht="30" x14ac:dyDescent="0.25">
      <c r="A792" s="149" t="s">
        <v>149</v>
      </c>
      <c r="B792" s="148"/>
      <c r="C792" s="148" t="s">
        <v>591</v>
      </c>
      <c r="D792" s="143" t="s">
        <v>592</v>
      </c>
      <c r="E792" s="144" t="s">
        <v>593</v>
      </c>
      <c r="F792" s="143" t="s">
        <v>1215</v>
      </c>
      <c r="G792" s="146"/>
      <c r="H792" s="146"/>
      <c r="I792" s="146">
        <v>1</v>
      </c>
      <c r="J792" s="146">
        <f>SUM(J793:J795)</f>
        <v>561.71835190000002</v>
      </c>
      <c r="K792" s="146">
        <f>SUM(K793:K795)</f>
        <v>5.9617500000000003</v>
      </c>
      <c r="L792" s="146">
        <f>J792+K792</f>
        <v>567.68010190000007</v>
      </c>
      <c r="M792" s="146">
        <f>J792*I792</f>
        <v>561.71835190000002</v>
      </c>
      <c r="N792" s="146">
        <f>K792*I792</f>
        <v>5.9617500000000003</v>
      </c>
      <c r="O792" s="146">
        <f>M792+N792</f>
        <v>567.68010190000007</v>
      </c>
      <c r="P792" s="146">
        <f>O792*$P$1</f>
        <v>145.66671414754001</v>
      </c>
      <c r="Q792" s="146">
        <f>P792+O792</f>
        <v>713.34681604754007</v>
      </c>
    </row>
    <row r="793" spans="1:17" s="25" customFormat="1" x14ac:dyDescent="0.25">
      <c r="A793" s="200" t="s">
        <v>22</v>
      </c>
      <c r="B793" s="201" t="s">
        <v>27</v>
      </c>
      <c r="C793" s="201">
        <v>88264</v>
      </c>
      <c r="D793" s="201"/>
      <c r="E793" s="204" t="s">
        <v>594</v>
      </c>
      <c r="F793" s="201" t="s">
        <v>29</v>
      </c>
      <c r="G793" s="225">
        <v>0.15</v>
      </c>
      <c r="H793" s="203">
        <v>24.73</v>
      </c>
      <c r="I793" s="203" t="s">
        <v>1193</v>
      </c>
      <c r="J793" s="203">
        <f>0.2544*H793*G793</f>
        <v>0.9436968</v>
      </c>
      <c r="K793" s="203">
        <f>0.7456*H793*G793</f>
        <v>2.7658032000000001</v>
      </c>
      <c r="L793" s="203"/>
      <c r="M793" s="203"/>
      <c r="N793" s="203"/>
      <c r="O793" s="203"/>
      <c r="P793" s="203"/>
      <c r="Q793" s="203"/>
    </row>
    <row r="794" spans="1:17" s="25" customFormat="1" x14ac:dyDescent="0.25">
      <c r="A794" s="196" t="s">
        <v>22</v>
      </c>
      <c r="B794" s="197" t="s">
        <v>27</v>
      </c>
      <c r="C794" s="197">
        <v>88277</v>
      </c>
      <c r="D794" s="197"/>
      <c r="E794" s="207" t="s">
        <v>582</v>
      </c>
      <c r="F794" s="197" t="s">
        <v>29</v>
      </c>
      <c r="G794" s="241">
        <v>0.15</v>
      </c>
      <c r="H794" s="199">
        <v>26.54</v>
      </c>
      <c r="I794" s="199" t="s">
        <v>1193</v>
      </c>
      <c r="J794" s="199">
        <f>0.1971*H794*G794</f>
        <v>0.78465510000000005</v>
      </c>
      <c r="K794" s="199">
        <f>0.8028*H794*G794</f>
        <v>3.1959467999999998</v>
      </c>
      <c r="L794" s="199"/>
      <c r="M794" s="199"/>
      <c r="N794" s="199"/>
      <c r="O794" s="199"/>
      <c r="P794" s="199"/>
      <c r="Q794" s="199"/>
    </row>
    <row r="795" spans="1:17" s="25" customFormat="1" x14ac:dyDescent="0.25">
      <c r="A795" s="252" t="s">
        <v>877</v>
      </c>
      <c r="B795" s="201" t="s">
        <v>62</v>
      </c>
      <c r="C795" s="201"/>
      <c r="D795" s="201"/>
      <c r="E795" s="202" t="s">
        <v>595</v>
      </c>
      <c r="F795" s="201" t="s">
        <v>1215</v>
      </c>
      <c r="G795" s="203">
        <v>1</v>
      </c>
      <c r="H795" s="341">
        <f>'MAPA COTAÇÕES CIVIL'!$I$4</f>
        <v>559.99</v>
      </c>
      <c r="I795" s="203" t="s">
        <v>1193</v>
      </c>
      <c r="J795" s="203">
        <f>G795*H795</f>
        <v>559.99</v>
      </c>
      <c r="K795" s="203"/>
      <c r="L795" s="203"/>
      <c r="M795" s="203"/>
      <c r="N795" s="203"/>
      <c r="O795" s="203"/>
      <c r="P795" s="203"/>
      <c r="Q795" s="203"/>
    </row>
    <row r="796" spans="1:17" s="25" customFormat="1" x14ac:dyDescent="0.25">
      <c r="A796" s="159"/>
      <c r="B796" s="160"/>
      <c r="C796" s="160"/>
      <c r="D796" s="160"/>
      <c r="E796" s="161"/>
      <c r="F796" s="160"/>
      <c r="G796" s="162"/>
      <c r="H796" s="162"/>
      <c r="I796" s="162" t="s">
        <v>1193</v>
      </c>
      <c r="J796" s="162"/>
      <c r="K796" s="162"/>
      <c r="L796" s="162"/>
      <c r="M796" s="162"/>
      <c r="N796" s="162"/>
      <c r="O796" s="162"/>
      <c r="P796" s="162"/>
      <c r="Q796" s="162"/>
    </row>
    <row r="797" spans="1:17" s="25" customFormat="1" ht="40.9" customHeight="1" x14ac:dyDescent="0.25">
      <c r="A797" s="149" t="s">
        <v>149</v>
      </c>
      <c r="B797" s="148"/>
      <c r="C797" s="148"/>
      <c r="D797" s="143" t="s">
        <v>596</v>
      </c>
      <c r="E797" s="144" t="s">
        <v>597</v>
      </c>
      <c r="F797" s="143" t="s">
        <v>1215</v>
      </c>
      <c r="G797" s="146"/>
      <c r="H797" s="146"/>
      <c r="I797" s="146">
        <v>1</v>
      </c>
      <c r="J797" s="146">
        <f>SUM(J798:J799)</f>
        <v>34.395960000000002</v>
      </c>
      <c r="K797" s="146">
        <f>SUM(K798:K799)</f>
        <v>90.121587000000005</v>
      </c>
      <c r="L797" s="146">
        <f>J797+K797</f>
        <v>124.51754700000001</v>
      </c>
      <c r="M797" s="146">
        <f>J797*I797</f>
        <v>34.395960000000002</v>
      </c>
      <c r="N797" s="146">
        <f>K797*I797</f>
        <v>90.121587000000005</v>
      </c>
      <c r="O797" s="146">
        <f>M797+N797</f>
        <v>124.51754700000001</v>
      </c>
      <c r="P797" s="146">
        <f>O797*$P$1</f>
        <v>31.951202560200002</v>
      </c>
      <c r="Q797" s="146">
        <f>P797+O797</f>
        <v>156.46874956020002</v>
      </c>
    </row>
    <row r="798" spans="1:17" s="25" customFormat="1" x14ac:dyDescent="0.25">
      <c r="A798" s="196" t="s">
        <v>22</v>
      </c>
      <c r="B798" s="197" t="s">
        <v>27</v>
      </c>
      <c r="C798" s="197">
        <v>88278</v>
      </c>
      <c r="D798" s="197"/>
      <c r="E798" s="207" t="s">
        <v>172</v>
      </c>
      <c r="F798" s="235" t="s">
        <v>598</v>
      </c>
      <c r="G798" s="241">
        <v>3</v>
      </c>
      <c r="H798" s="199">
        <v>22.41</v>
      </c>
      <c r="I798" s="199" t="s">
        <v>1193</v>
      </c>
      <c r="J798" s="199">
        <f>0.233*G798*H798</f>
        <v>15.664590000000002</v>
      </c>
      <c r="K798" s="199">
        <f>0.7669*H798*G798</f>
        <v>51.558687000000006</v>
      </c>
      <c r="L798" s="199"/>
      <c r="M798" s="199"/>
      <c r="N798" s="199"/>
      <c r="O798" s="199"/>
      <c r="P798" s="199"/>
      <c r="Q798" s="199"/>
    </row>
    <row r="799" spans="1:17" s="25" customFormat="1" x14ac:dyDescent="0.25">
      <c r="A799" s="200" t="s">
        <v>22</v>
      </c>
      <c r="B799" s="201" t="s">
        <v>27</v>
      </c>
      <c r="C799" s="201">
        <v>88247</v>
      </c>
      <c r="D799" s="201"/>
      <c r="E799" s="230" t="s">
        <v>599</v>
      </c>
      <c r="F799" s="201" t="s">
        <v>29</v>
      </c>
      <c r="G799" s="225">
        <v>3</v>
      </c>
      <c r="H799" s="203">
        <v>19.100000000000001</v>
      </c>
      <c r="I799" s="203" t="s">
        <v>1193</v>
      </c>
      <c r="J799" s="203">
        <f>0.3269*H799*G799</f>
        <v>18.731370000000002</v>
      </c>
      <c r="K799" s="203">
        <f>0.673*H799*G799</f>
        <v>38.562900000000006</v>
      </c>
      <c r="L799" s="203"/>
      <c r="M799" s="203"/>
      <c r="N799" s="203"/>
      <c r="O799" s="203"/>
      <c r="P799" s="203"/>
      <c r="Q799" s="203"/>
    </row>
    <row r="800" spans="1:17" s="25" customFormat="1" x14ac:dyDescent="0.25">
      <c r="A800" s="159"/>
      <c r="B800" s="160"/>
      <c r="C800" s="160"/>
      <c r="D800" s="160"/>
      <c r="E800" s="161"/>
      <c r="F800" s="160"/>
      <c r="G800" s="162"/>
      <c r="H800" s="162"/>
      <c r="I800" s="162" t="s">
        <v>1193</v>
      </c>
      <c r="J800" s="162"/>
      <c r="K800" s="162"/>
      <c r="L800" s="162"/>
      <c r="M800" s="162"/>
      <c r="N800" s="162"/>
      <c r="O800" s="162"/>
      <c r="P800" s="162"/>
      <c r="Q800" s="162"/>
    </row>
    <row r="801" spans="1:17" s="25" customFormat="1" ht="30" x14ac:dyDescent="0.25">
      <c r="A801" s="149" t="s">
        <v>71</v>
      </c>
      <c r="B801" s="148"/>
      <c r="C801" s="148"/>
      <c r="D801" s="143" t="s">
        <v>600</v>
      </c>
      <c r="E801" s="144" t="s">
        <v>601</v>
      </c>
      <c r="F801" s="143" t="s">
        <v>1215</v>
      </c>
      <c r="G801" s="146"/>
      <c r="H801" s="146"/>
      <c r="I801" s="146">
        <v>1</v>
      </c>
      <c r="J801" s="146">
        <f>SUM(J802:J804)</f>
        <v>348.72020399999997</v>
      </c>
      <c r="K801" s="146">
        <f>SUM(K802:K804)</f>
        <v>62.585976000000009</v>
      </c>
      <c r="L801" s="146">
        <f>J801+K801</f>
        <v>411.30617999999998</v>
      </c>
      <c r="M801" s="146">
        <f>J801*I801</f>
        <v>348.72020399999997</v>
      </c>
      <c r="N801" s="146">
        <f>K801*I801</f>
        <v>62.585976000000009</v>
      </c>
      <c r="O801" s="146">
        <f>M801+N801</f>
        <v>411.30617999999998</v>
      </c>
      <c r="P801" s="146">
        <f>O801*$P$1</f>
        <v>105.541165788</v>
      </c>
      <c r="Q801" s="146">
        <f>P801+O801</f>
        <v>516.84734578799998</v>
      </c>
    </row>
    <row r="802" spans="1:17" s="25" customFormat="1" x14ac:dyDescent="0.25">
      <c r="A802" s="196" t="s">
        <v>22</v>
      </c>
      <c r="B802" s="197" t="s">
        <v>27</v>
      </c>
      <c r="C802" s="197">
        <v>88247</v>
      </c>
      <c r="D802" s="197"/>
      <c r="E802" s="226" t="s">
        <v>599</v>
      </c>
      <c r="F802" s="197" t="s">
        <v>29</v>
      </c>
      <c r="G802" s="241">
        <v>2</v>
      </c>
      <c r="H802" s="199">
        <v>19.100000000000001</v>
      </c>
      <c r="I802" s="199" t="s">
        <v>1193</v>
      </c>
      <c r="J802" s="199">
        <f>0.3269*H802*G802</f>
        <v>12.487580000000001</v>
      </c>
      <c r="K802" s="199">
        <f>0.673*H802*G802</f>
        <v>25.708600000000004</v>
      </c>
      <c r="L802" s="199"/>
      <c r="M802" s="199"/>
      <c r="N802" s="199"/>
      <c r="O802" s="199"/>
      <c r="P802" s="199"/>
      <c r="Q802" s="199"/>
    </row>
    <row r="803" spans="1:17" s="25" customFormat="1" x14ac:dyDescent="0.25">
      <c r="A803" s="200" t="s">
        <v>22</v>
      </c>
      <c r="B803" s="201" t="s">
        <v>27</v>
      </c>
      <c r="C803" s="201">
        <v>88264</v>
      </c>
      <c r="D803" s="201"/>
      <c r="E803" s="204" t="s">
        <v>594</v>
      </c>
      <c r="F803" s="201" t="s">
        <v>29</v>
      </c>
      <c r="G803" s="225">
        <v>2</v>
      </c>
      <c r="H803" s="203">
        <v>24.73</v>
      </c>
      <c r="I803" s="203" t="s">
        <v>1193</v>
      </c>
      <c r="J803" s="203">
        <f>0.2544*H803*G803</f>
        <v>12.582624000000001</v>
      </c>
      <c r="K803" s="203">
        <f>0.7456*H803*G803</f>
        <v>36.877376000000005</v>
      </c>
      <c r="L803" s="203"/>
      <c r="M803" s="203"/>
      <c r="N803" s="203"/>
      <c r="O803" s="203"/>
      <c r="P803" s="203"/>
      <c r="Q803" s="203"/>
    </row>
    <row r="804" spans="1:17" s="25" customFormat="1" ht="30" x14ac:dyDescent="0.25">
      <c r="A804" s="252" t="s">
        <v>877</v>
      </c>
      <c r="B804" s="197" t="s">
        <v>62</v>
      </c>
      <c r="C804" s="206"/>
      <c r="D804" s="197"/>
      <c r="E804" s="207" t="s">
        <v>602</v>
      </c>
      <c r="F804" s="197" t="s">
        <v>1215</v>
      </c>
      <c r="G804" s="241">
        <v>1</v>
      </c>
      <c r="H804" s="341">
        <f>'MAPA COTAÇÕES CIVIL'!$I$6</f>
        <v>323.64999999999998</v>
      </c>
      <c r="I804" s="203" t="s">
        <v>1193</v>
      </c>
      <c r="J804" s="203">
        <f>H804*G804</f>
        <v>323.64999999999998</v>
      </c>
      <c r="K804" s="203"/>
      <c r="L804" s="203"/>
      <c r="M804" s="203"/>
      <c r="N804" s="203"/>
      <c r="O804" s="203"/>
      <c r="P804" s="203"/>
      <c r="Q804" s="203"/>
    </row>
    <row r="805" spans="1:17" s="25" customFormat="1" x14ac:dyDescent="0.25">
      <c r="A805" s="163"/>
      <c r="B805" s="101"/>
      <c r="C805" s="101"/>
      <c r="D805" s="101"/>
      <c r="E805" s="102"/>
      <c r="F805" s="101"/>
      <c r="G805" s="96"/>
      <c r="H805" s="96"/>
      <c r="I805" s="96" t="s">
        <v>1193</v>
      </c>
      <c r="J805" s="96"/>
      <c r="K805" s="96"/>
      <c r="L805" s="96"/>
      <c r="M805" s="96"/>
      <c r="N805" s="96"/>
      <c r="O805" s="96"/>
      <c r="P805" s="96"/>
      <c r="Q805" s="96"/>
    </row>
    <row r="806" spans="1:17" s="25" customFormat="1" ht="15.75" x14ac:dyDescent="0.25">
      <c r="A806" s="136"/>
      <c r="B806" s="97"/>
      <c r="C806" s="97"/>
      <c r="D806" s="97">
        <v>13</v>
      </c>
      <c r="E806" s="98" t="s">
        <v>603</v>
      </c>
      <c r="F806" s="97"/>
      <c r="G806" s="97"/>
      <c r="H806" s="330"/>
      <c r="I806" s="97" t="s">
        <v>1193</v>
      </c>
      <c r="J806" s="330"/>
      <c r="K806" s="330"/>
      <c r="L806" s="330"/>
      <c r="M806" s="330"/>
      <c r="N806" s="330"/>
      <c r="O806" s="330"/>
      <c r="P806" s="330"/>
      <c r="Q806" s="330">
        <f>SUM(Q808:Q820)</f>
        <v>15.988716331975995</v>
      </c>
    </row>
    <row r="807" spans="1:17" s="25" customFormat="1" x14ac:dyDescent="0.25">
      <c r="A807" s="163"/>
      <c r="B807" s="101"/>
      <c r="C807" s="101"/>
      <c r="D807" s="101"/>
      <c r="E807" s="102"/>
      <c r="F807" s="101"/>
      <c r="G807" s="96"/>
      <c r="H807" s="96"/>
      <c r="I807" s="96" t="s">
        <v>1193</v>
      </c>
      <c r="J807" s="96"/>
      <c r="K807" s="96"/>
      <c r="L807" s="96"/>
      <c r="M807" s="96"/>
      <c r="N807" s="96"/>
      <c r="O807" s="96"/>
      <c r="P807" s="96"/>
      <c r="Q807" s="96"/>
    </row>
    <row r="808" spans="1:17" s="25" customFormat="1" ht="30" x14ac:dyDescent="0.25">
      <c r="A808" s="152" t="s">
        <v>56</v>
      </c>
      <c r="B808" s="153"/>
      <c r="C808" s="148"/>
      <c r="D808" s="143" t="s">
        <v>604</v>
      </c>
      <c r="E808" s="144" t="s">
        <v>605</v>
      </c>
      <c r="F808" s="143" t="s">
        <v>33</v>
      </c>
      <c r="G808" s="146"/>
      <c r="H808" s="146"/>
      <c r="I808" s="146">
        <v>0.67</v>
      </c>
      <c r="J808" s="146">
        <f>SUM(J809:J812)</f>
        <v>6.8111348319999996</v>
      </c>
      <c r="K808" s="146">
        <f>SUM(K809:K812)</f>
        <v>7.0380986706000002</v>
      </c>
      <c r="L808" s="146">
        <f>J808+K808</f>
        <v>13.849233502600001</v>
      </c>
      <c r="M808" s="146">
        <f>J808*I808</f>
        <v>4.5634603374399996</v>
      </c>
      <c r="N808" s="146">
        <f>K808*I808</f>
        <v>4.715526109302</v>
      </c>
      <c r="O808" s="146">
        <f>M808+N808</f>
        <v>9.2789864467419996</v>
      </c>
      <c r="P808" s="146">
        <f>O808*$P$1</f>
        <v>2.3809879222339969</v>
      </c>
      <c r="Q808" s="146">
        <f>P808+O808</f>
        <v>11.659974368975996</v>
      </c>
    </row>
    <row r="809" spans="1:17" s="25" customFormat="1" x14ac:dyDescent="0.25">
      <c r="A809" s="236" t="s">
        <v>22</v>
      </c>
      <c r="B809" s="201" t="s">
        <v>27</v>
      </c>
      <c r="C809" s="239">
        <v>88278</v>
      </c>
      <c r="D809" s="239"/>
      <c r="E809" s="244" t="s">
        <v>172</v>
      </c>
      <c r="F809" s="239" t="s">
        <v>29</v>
      </c>
      <c r="G809" s="225">
        <v>0.29509999999999997</v>
      </c>
      <c r="H809" s="203">
        <v>22.41</v>
      </c>
      <c r="I809" s="203" t="s">
        <v>1193</v>
      </c>
      <c r="J809" s="203">
        <f>0.233*G809*H809</f>
        <v>1.5408735029999998</v>
      </c>
      <c r="K809" s="203">
        <f>0.7669*H809*G809</f>
        <v>5.0716561778999996</v>
      </c>
      <c r="L809" s="203"/>
      <c r="M809" s="203"/>
      <c r="N809" s="203"/>
      <c r="O809" s="203"/>
      <c r="P809" s="203"/>
      <c r="Q809" s="203"/>
    </row>
    <row r="810" spans="1:17" s="25" customFormat="1" x14ac:dyDescent="0.25">
      <c r="A810" s="234" t="s">
        <v>22</v>
      </c>
      <c r="B810" s="197" t="s">
        <v>27</v>
      </c>
      <c r="C810" s="235">
        <v>88316</v>
      </c>
      <c r="D810" s="235"/>
      <c r="E810" s="250" t="s">
        <v>30</v>
      </c>
      <c r="F810" s="235" t="s">
        <v>29</v>
      </c>
      <c r="G810" s="241">
        <v>5.8999999999999997E-2</v>
      </c>
      <c r="H810" s="203">
        <v>18.899999999999999</v>
      </c>
      <c r="I810" s="199" t="s">
        <v>1193</v>
      </c>
      <c r="J810" s="199">
        <f>0.3242*H810*G810</f>
        <v>0.36151541999999998</v>
      </c>
      <c r="K810" s="199">
        <f>0.6758*H810*G810</f>
        <v>0.75358457999999984</v>
      </c>
      <c r="L810" s="199"/>
      <c r="M810" s="199"/>
      <c r="N810" s="199"/>
      <c r="O810" s="199"/>
      <c r="P810" s="199"/>
      <c r="Q810" s="199"/>
    </row>
    <row r="811" spans="1:17" s="25" customFormat="1" x14ac:dyDescent="0.25">
      <c r="A811" s="236" t="s">
        <v>22</v>
      </c>
      <c r="B811" s="201" t="s">
        <v>27</v>
      </c>
      <c r="C811" s="239">
        <v>100251</v>
      </c>
      <c r="D811" s="239"/>
      <c r="E811" s="244" t="s">
        <v>606</v>
      </c>
      <c r="F811" s="239" t="s">
        <v>607</v>
      </c>
      <c r="G811" s="225">
        <v>0.1673</v>
      </c>
      <c r="H811" s="225">
        <v>10.71</v>
      </c>
      <c r="I811" s="203" t="s">
        <v>1193</v>
      </c>
      <c r="J811" s="203">
        <f>0.323*G811*H811</f>
        <v>0.578745909</v>
      </c>
      <c r="K811" s="203">
        <f>0.6769*G811*H811</f>
        <v>1.2128579127000001</v>
      </c>
      <c r="L811" s="203"/>
      <c r="M811" s="203"/>
      <c r="N811" s="203"/>
      <c r="O811" s="203"/>
      <c r="P811" s="203"/>
      <c r="Q811" s="203"/>
    </row>
    <row r="812" spans="1:17" s="25" customFormat="1" ht="30" x14ac:dyDescent="0.25">
      <c r="A812" s="234" t="s">
        <v>22</v>
      </c>
      <c r="B812" s="197" t="s">
        <v>62</v>
      </c>
      <c r="C812" s="235">
        <v>20193</v>
      </c>
      <c r="D812" s="235"/>
      <c r="E812" s="243" t="s">
        <v>608</v>
      </c>
      <c r="F812" s="235" t="s">
        <v>609</v>
      </c>
      <c r="G812" s="241">
        <v>1</v>
      </c>
      <c r="H812" s="241">
        <v>4.33</v>
      </c>
      <c r="I812" s="199" t="s">
        <v>1193</v>
      </c>
      <c r="J812" s="199">
        <f>H812*G812</f>
        <v>4.33</v>
      </c>
      <c r="K812" s="199"/>
      <c r="L812" s="199"/>
      <c r="M812" s="199"/>
      <c r="N812" s="199"/>
      <c r="O812" s="199"/>
      <c r="P812" s="199"/>
      <c r="Q812" s="199"/>
    </row>
    <row r="813" spans="1:17" s="25" customFormat="1" x14ac:dyDescent="0.25">
      <c r="A813" s="163"/>
      <c r="B813" s="101"/>
      <c r="C813" s="101"/>
      <c r="D813" s="101"/>
      <c r="E813" s="102"/>
      <c r="F813" s="101"/>
      <c r="G813" s="96"/>
      <c r="H813" s="96"/>
      <c r="I813" s="96" t="s">
        <v>1193</v>
      </c>
      <c r="J813" s="96"/>
      <c r="K813" s="96"/>
      <c r="L813" s="96"/>
      <c r="M813" s="96"/>
      <c r="N813" s="96"/>
      <c r="O813" s="96"/>
      <c r="P813" s="96"/>
      <c r="Q813" s="96"/>
    </row>
    <row r="814" spans="1:17" s="25" customFormat="1" ht="30" x14ac:dyDescent="0.25">
      <c r="A814" s="149" t="s">
        <v>22</v>
      </c>
      <c r="B814" s="148"/>
      <c r="C814" s="148"/>
      <c r="D814" s="143" t="s">
        <v>610</v>
      </c>
      <c r="E814" s="144" t="s">
        <v>611</v>
      </c>
      <c r="F814" s="143" t="s">
        <v>33</v>
      </c>
      <c r="G814" s="146"/>
      <c r="H814" s="146"/>
      <c r="I814" s="146">
        <v>0.67</v>
      </c>
      <c r="J814" s="146">
        <f>SUM(J815:J816)</f>
        <v>2.160838</v>
      </c>
      <c r="K814" s="146">
        <f>SUM(K815:K816)</f>
        <v>1.2772619999999999</v>
      </c>
      <c r="L814" s="146">
        <f>J814+K814</f>
        <v>3.4380999999999999</v>
      </c>
      <c r="M814" s="146">
        <f>J814*I814</f>
        <v>1.4477614600000002</v>
      </c>
      <c r="N814" s="146">
        <f>K814*I814</f>
        <v>0.85576553999999994</v>
      </c>
      <c r="O814" s="146">
        <f>M814+N814</f>
        <v>2.3035269999999999</v>
      </c>
      <c r="P814" s="146">
        <f>O814*$P$1</f>
        <v>0.59108502819999997</v>
      </c>
      <c r="Q814" s="146">
        <f>P814+O814</f>
        <v>2.8946120282000001</v>
      </c>
    </row>
    <row r="815" spans="1:17" s="25" customFormat="1" x14ac:dyDescent="0.25">
      <c r="A815" s="200" t="s">
        <v>22</v>
      </c>
      <c r="B815" s="201" t="s">
        <v>27</v>
      </c>
      <c r="C815" s="239">
        <v>88316</v>
      </c>
      <c r="D815" s="239"/>
      <c r="E815" s="237" t="s">
        <v>30</v>
      </c>
      <c r="F815" s="239" t="s">
        <v>29</v>
      </c>
      <c r="G815" s="225">
        <v>0.1</v>
      </c>
      <c r="H815" s="203">
        <v>18.899999999999999</v>
      </c>
      <c r="I815" s="203" t="s">
        <v>1193</v>
      </c>
      <c r="J815" s="203">
        <f>0.3242*H815*G815</f>
        <v>0.612738</v>
      </c>
      <c r="K815" s="203">
        <f>0.6758*H815*G815</f>
        <v>1.2772619999999999</v>
      </c>
      <c r="L815" s="203"/>
      <c r="M815" s="203"/>
      <c r="N815" s="203"/>
      <c r="O815" s="203"/>
      <c r="P815" s="203"/>
      <c r="Q815" s="203"/>
    </row>
    <row r="816" spans="1:17" s="25" customFormat="1" ht="30" x14ac:dyDescent="0.25">
      <c r="A816" s="196" t="s">
        <v>22</v>
      </c>
      <c r="B816" s="197" t="s">
        <v>62</v>
      </c>
      <c r="C816" s="235">
        <v>3777</v>
      </c>
      <c r="D816" s="235"/>
      <c r="E816" s="243" t="s">
        <v>611</v>
      </c>
      <c r="F816" s="235" t="s">
        <v>33</v>
      </c>
      <c r="G816" s="241">
        <v>1.1299999999999999</v>
      </c>
      <c r="H816" s="241">
        <v>1.37</v>
      </c>
      <c r="I816" s="199" t="s">
        <v>1193</v>
      </c>
      <c r="J816" s="199">
        <f>H816*G816</f>
        <v>1.5481</v>
      </c>
      <c r="K816" s="199"/>
      <c r="L816" s="199"/>
      <c r="M816" s="199"/>
      <c r="N816" s="199"/>
      <c r="O816" s="199"/>
      <c r="P816" s="199"/>
      <c r="Q816" s="199"/>
    </row>
    <row r="817" spans="1:18" s="25" customFormat="1" x14ac:dyDescent="0.25">
      <c r="A817" s="163"/>
      <c r="B817" s="101"/>
      <c r="C817" s="101"/>
      <c r="D817" s="101"/>
      <c r="E817" s="102"/>
      <c r="F817" s="101"/>
      <c r="G817" s="96"/>
      <c r="H817" s="96"/>
      <c r="I817" s="96" t="s">
        <v>1193</v>
      </c>
      <c r="J817" s="96"/>
      <c r="K817" s="96"/>
      <c r="L817" s="96"/>
      <c r="M817" s="96"/>
      <c r="N817" s="96"/>
      <c r="O817" s="96"/>
      <c r="P817" s="96"/>
      <c r="Q817" s="96"/>
    </row>
    <row r="818" spans="1:18" s="25" customFormat="1" x14ac:dyDescent="0.25">
      <c r="A818" s="152" t="s">
        <v>22</v>
      </c>
      <c r="B818" s="153"/>
      <c r="C818" s="153">
        <v>99814</v>
      </c>
      <c r="D818" s="143" t="s">
        <v>612</v>
      </c>
      <c r="E818" s="158" t="s">
        <v>613</v>
      </c>
      <c r="F818" s="143" t="s">
        <v>33</v>
      </c>
      <c r="G818" s="146"/>
      <c r="H818" s="146"/>
      <c r="I818" s="146">
        <v>0.67</v>
      </c>
      <c r="J818" s="146">
        <f>SUM(J819:J820)</f>
        <v>0.56663681999999993</v>
      </c>
      <c r="K818" s="146">
        <f>SUM(K819:K820)</f>
        <v>1.1367631799999998</v>
      </c>
      <c r="L818" s="146">
        <f>J818+K818</f>
        <v>1.7033999999999998</v>
      </c>
      <c r="M818" s="146">
        <f>J818*I818</f>
        <v>0.37964666939999997</v>
      </c>
      <c r="N818" s="146">
        <f>K818*I818</f>
        <v>0.76163133059999988</v>
      </c>
      <c r="O818" s="146">
        <f>M818+N818</f>
        <v>1.1412779999999998</v>
      </c>
      <c r="P818" s="146">
        <f>O818*$P$1</f>
        <v>0.29285193479999994</v>
      </c>
      <c r="Q818" s="146">
        <f>P818+O818</f>
        <v>1.4341299347999996</v>
      </c>
    </row>
    <row r="819" spans="1:18" s="25" customFormat="1" x14ac:dyDescent="0.25">
      <c r="A819" s="236" t="s">
        <v>22</v>
      </c>
      <c r="B819" s="201" t="s">
        <v>27</v>
      </c>
      <c r="C819" s="239">
        <v>88316</v>
      </c>
      <c r="D819" s="201"/>
      <c r="E819" s="251" t="s">
        <v>30</v>
      </c>
      <c r="F819" s="239" t="s">
        <v>29</v>
      </c>
      <c r="G819" s="225">
        <v>8.8999999999999996E-2</v>
      </c>
      <c r="H819" s="203">
        <v>18.899999999999999</v>
      </c>
      <c r="I819" s="203" t="s">
        <v>1193</v>
      </c>
      <c r="J819" s="203">
        <f>0.3242*H819*G819</f>
        <v>0.54533681999999994</v>
      </c>
      <c r="K819" s="203">
        <f>0.6758*H819*G819</f>
        <v>1.1367631799999998</v>
      </c>
      <c r="L819" s="203"/>
      <c r="M819" s="203"/>
      <c r="N819" s="203"/>
      <c r="O819" s="203"/>
      <c r="P819" s="203"/>
      <c r="Q819" s="203"/>
    </row>
    <row r="820" spans="1:18" s="25" customFormat="1" ht="30" x14ac:dyDescent="0.25">
      <c r="A820" s="234" t="s">
        <v>22</v>
      </c>
      <c r="B820" s="197" t="s">
        <v>62</v>
      </c>
      <c r="C820" s="235">
        <v>99833</v>
      </c>
      <c r="D820" s="197"/>
      <c r="E820" s="243" t="s">
        <v>614</v>
      </c>
      <c r="F820" s="235" t="s">
        <v>285</v>
      </c>
      <c r="G820" s="241">
        <v>1.4999999999999999E-2</v>
      </c>
      <c r="H820" s="241">
        <v>1.42</v>
      </c>
      <c r="I820" s="199" t="s">
        <v>1193</v>
      </c>
      <c r="J820" s="199">
        <f>H820*G820</f>
        <v>2.1299999999999999E-2</v>
      </c>
      <c r="K820" s="199"/>
      <c r="L820" s="199"/>
      <c r="M820" s="199"/>
      <c r="N820" s="199"/>
      <c r="O820" s="199"/>
      <c r="P820" s="199"/>
      <c r="Q820" s="199"/>
    </row>
    <row r="821" spans="1:18" x14ac:dyDescent="0.25">
      <c r="A821" s="167"/>
      <c r="B821" s="168"/>
      <c r="C821" s="101"/>
      <c r="D821" s="101"/>
      <c r="E821" s="102"/>
      <c r="F821" s="101"/>
      <c r="G821" s="96"/>
      <c r="H821" s="96"/>
      <c r="I821" s="96" t="s">
        <v>1193</v>
      </c>
      <c r="J821" s="96"/>
      <c r="K821" s="96"/>
      <c r="L821" s="96"/>
      <c r="M821" s="96"/>
      <c r="N821" s="96"/>
      <c r="O821" s="96"/>
      <c r="P821" s="96"/>
      <c r="Q821" s="96"/>
      <c r="R821" s="25"/>
    </row>
    <row r="822" spans="1:18" s="25" customFormat="1" ht="15.75" x14ac:dyDescent="0.25">
      <c r="A822" s="136"/>
      <c r="B822" s="97"/>
      <c r="C822" s="97"/>
      <c r="D822" s="97">
        <v>14</v>
      </c>
      <c r="E822" s="98" t="s">
        <v>787</v>
      </c>
      <c r="F822" s="97"/>
      <c r="G822" s="97"/>
      <c r="H822" s="330"/>
      <c r="I822" s="97" t="s">
        <v>1193</v>
      </c>
      <c r="J822" s="330"/>
      <c r="K822" s="330"/>
      <c r="L822" s="330"/>
      <c r="M822" s="330"/>
      <c r="N822" s="330"/>
      <c r="O822" s="330"/>
      <c r="P822" s="330"/>
      <c r="Q822" s="330">
        <f>SUM(Q823:Q993)</f>
        <v>1492.4920935</v>
      </c>
    </row>
    <row r="823" spans="1:18" ht="15.75" x14ac:dyDescent="0.25">
      <c r="A823" s="137"/>
      <c r="B823" s="111"/>
      <c r="C823" s="111"/>
      <c r="D823" s="112"/>
      <c r="E823" s="113" t="s">
        <v>788</v>
      </c>
      <c r="F823" s="112"/>
      <c r="G823" s="114"/>
      <c r="H823" s="115"/>
      <c r="I823" s="114" t="s">
        <v>1193</v>
      </c>
      <c r="J823" s="114"/>
      <c r="K823" s="114"/>
      <c r="L823" s="114"/>
      <c r="M823" s="114"/>
      <c r="N823" s="114"/>
      <c r="O823" s="114"/>
      <c r="P823" s="115"/>
      <c r="Q823" s="115"/>
      <c r="R823" s="25"/>
    </row>
    <row r="824" spans="1:18" s="25" customFormat="1" ht="45" x14ac:dyDescent="0.25">
      <c r="A824" s="149" t="s">
        <v>22</v>
      </c>
      <c r="B824" s="148"/>
      <c r="C824" s="148">
        <v>91863</v>
      </c>
      <c r="D824" s="143" t="s">
        <v>789</v>
      </c>
      <c r="E824" s="144" t="s">
        <v>790</v>
      </c>
      <c r="F824" s="143" t="s">
        <v>39</v>
      </c>
      <c r="G824" s="146"/>
      <c r="H824" s="146"/>
      <c r="I824" s="146">
        <v>0.67</v>
      </c>
      <c r="J824" s="146">
        <f>SUM(J825:J828)</f>
        <v>7.6899999999999995</v>
      </c>
      <c r="K824" s="146">
        <f>SUM(K825:K828)</f>
        <v>3.5999999999999996</v>
      </c>
      <c r="L824" s="146">
        <f>J824+K824</f>
        <v>11.29</v>
      </c>
      <c r="M824" s="146">
        <f>I824*J824</f>
        <v>5.1523000000000003</v>
      </c>
      <c r="N824" s="146">
        <f>I824*K824</f>
        <v>2.4119999999999999</v>
      </c>
      <c r="O824" s="146">
        <f>M824+N824</f>
        <v>7.5643000000000002</v>
      </c>
      <c r="P824" s="146">
        <f>O824*$P$1</f>
        <v>1.9409993800000001</v>
      </c>
      <c r="Q824" s="146">
        <f>P824+O824</f>
        <v>9.5052993800000003</v>
      </c>
    </row>
    <row r="825" spans="1:18" x14ac:dyDescent="0.25">
      <c r="A825" s="134" t="s">
        <v>22</v>
      </c>
      <c r="B825" s="92"/>
      <c r="C825" s="92">
        <v>88247</v>
      </c>
      <c r="D825" s="92"/>
      <c r="E825" s="93" t="s">
        <v>599</v>
      </c>
      <c r="F825" s="92" t="s">
        <v>29</v>
      </c>
      <c r="G825" s="103">
        <v>8.2000000000000003E-2</v>
      </c>
      <c r="H825" s="94">
        <v>19.100000000000001</v>
      </c>
      <c r="I825" s="116" t="s">
        <v>1193</v>
      </c>
      <c r="J825" s="94"/>
      <c r="K825" s="94">
        <f>ROUND(H825*G825,2)</f>
        <v>1.57</v>
      </c>
      <c r="L825" s="94"/>
      <c r="M825" s="94"/>
      <c r="N825" s="94"/>
      <c r="O825" s="94"/>
      <c r="P825" s="94"/>
      <c r="Q825" s="94"/>
      <c r="R825" s="25"/>
    </row>
    <row r="826" spans="1:18" x14ac:dyDescent="0.25">
      <c r="A826" s="133" t="s">
        <v>22</v>
      </c>
      <c r="B826" s="89"/>
      <c r="C826" s="89">
        <v>88264</v>
      </c>
      <c r="D826" s="89"/>
      <c r="E826" s="90" t="s">
        <v>594</v>
      </c>
      <c r="F826" s="89" t="s">
        <v>29</v>
      </c>
      <c r="G826" s="106">
        <v>8.2000000000000003E-2</v>
      </c>
      <c r="H826" s="91">
        <v>24.73</v>
      </c>
      <c r="I826" s="117" t="s">
        <v>1193</v>
      </c>
      <c r="J826" s="91"/>
      <c r="K826" s="91">
        <f>ROUND(H826*G826,2)</f>
        <v>2.0299999999999998</v>
      </c>
      <c r="L826" s="91"/>
      <c r="M826" s="91"/>
      <c r="N826" s="91"/>
      <c r="O826" s="91"/>
      <c r="P826" s="91"/>
      <c r="Q826" s="91"/>
      <c r="R826" s="25"/>
    </row>
    <row r="827" spans="1:18" x14ac:dyDescent="0.25">
      <c r="A827" s="134" t="s">
        <v>22</v>
      </c>
      <c r="B827" s="92"/>
      <c r="C827" s="92">
        <v>2674</v>
      </c>
      <c r="D827" s="92"/>
      <c r="E827" s="93" t="s">
        <v>791</v>
      </c>
      <c r="F827" s="92" t="s">
        <v>39</v>
      </c>
      <c r="G827" s="94">
        <v>1.1499999999999999</v>
      </c>
      <c r="H827" s="94">
        <v>4.45</v>
      </c>
      <c r="I827" s="116" t="s">
        <v>1193</v>
      </c>
      <c r="J827" s="94">
        <f>ROUND(H827*G827,2)</f>
        <v>5.12</v>
      </c>
      <c r="K827" s="94"/>
      <c r="L827" s="94"/>
      <c r="M827" s="94"/>
      <c r="N827" s="94"/>
      <c r="O827" s="94"/>
      <c r="P827" s="94"/>
      <c r="Q827" s="94"/>
      <c r="R827" s="25"/>
    </row>
    <row r="828" spans="1:18" x14ac:dyDescent="0.25">
      <c r="A828" s="133" t="s">
        <v>22</v>
      </c>
      <c r="B828" s="89"/>
      <c r="C828" s="89">
        <v>91170</v>
      </c>
      <c r="D828" s="89"/>
      <c r="E828" s="90" t="s">
        <v>792</v>
      </c>
      <c r="F828" s="89" t="s">
        <v>39</v>
      </c>
      <c r="G828" s="106">
        <v>1.0169999999999999</v>
      </c>
      <c r="H828" s="91">
        <v>2.5299999999999998</v>
      </c>
      <c r="I828" s="117" t="s">
        <v>1193</v>
      </c>
      <c r="J828" s="91">
        <f>ROUND(H828*G828,2)</f>
        <v>2.57</v>
      </c>
      <c r="K828" s="91"/>
      <c r="L828" s="91"/>
      <c r="M828" s="91"/>
      <c r="N828" s="91"/>
      <c r="O828" s="91"/>
      <c r="P828" s="91"/>
      <c r="Q828" s="91"/>
      <c r="R828" s="25"/>
    </row>
    <row r="829" spans="1:18" x14ac:dyDescent="0.25">
      <c r="A829" s="163"/>
      <c r="B829" s="101"/>
      <c r="C829" s="101"/>
      <c r="D829" s="101"/>
      <c r="E829" s="102"/>
      <c r="F829" s="101"/>
      <c r="G829" s="96"/>
      <c r="H829" s="96"/>
      <c r="I829" s="169" t="s">
        <v>1193</v>
      </c>
      <c r="J829" s="96"/>
      <c r="K829" s="96"/>
      <c r="L829" s="96"/>
      <c r="M829" s="96"/>
      <c r="N829" s="96"/>
      <c r="O829" s="96"/>
      <c r="P829" s="96"/>
      <c r="Q829" s="96"/>
      <c r="R829" s="25"/>
    </row>
    <row r="830" spans="1:18" s="25" customFormat="1" ht="45" x14ac:dyDescent="0.25">
      <c r="A830" s="149" t="s">
        <v>22</v>
      </c>
      <c r="B830" s="148"/>
      <c r="C830" s="148">
        <v>91864</v>
      </c>
      <c r="D830" s="143" t="s">
        <v>793</v>
      </c>
      <c r="E830" s="144" t="s">
        <v>794</v>
      </c>
      <c r="F830" s="143" t="s">
        <v>39</v>
      </c>
      <c r="G830" s="146"/>
      <c r="H830" s="146"/>
      <c r="I830" s="146">
        <v>0.67</v>
      </c>
      <c r="J830" s="146">
        <f>SUM(J831:J834)</f>
        <v>9.61</v>
      </c>
      <c r="K830" s="146">
        <f>SUM(K831:K834)</f>
        <v>4.6400000000000006</v>
      </c>
      <c r="L830" s="146">
        <f>J830+K830</f>
        <v>14.25</v>
      </c>
      <c r="M830" s="146">
        <f>I830*J830</f>
        <v>6.4386999999999999</v>
      </c>
      <c r="N830" s="146">
        <f>I830*K830</f>
        <v>3.1088000000000005</v>
      </c>
      <c r="O830" s="146">
        <f>M830+N830</f>
        <v>9.5474999999999994</v>
      </c>
      <c r="P830" s="146">
        <f>O830*$P$1</f>
        <v>2.4498884999999997</v>
      </c>
      <c r="Q830" s="146">
        <f>P830+O830</f>
        <v>11.9973885</v>
      </c>
    </row>
    <row r="831" spans="1:18" x14ac:dyDescent="0.25">
      <c r="A831" s="134" t="s">
        <v>22</v>
      </c>
      <c r="B831" s="92"/>
      <c r="C831" s="92">
        <v>88247</v>
      </c>
      <c r="D831" s="92"/>
      <c r="E831" s="93" t="s">
        <v>599</v>
      </c>
      <c r="F831" s="92" t="s">
        <v>29</v>
      </c>
      <c r="G831" s="103">
        <v>0.106</v>
      </c>
      <c r="H831" s="94">
        <f>H825</f>
        <v>19.100000000000001</v>
      </c>
      <c r="I831" s="116" t="s">
        <v>1193</v>
      </c>
      <c r="J831" s="94"/>
      <c r="K831" s="94">
        <f>ROUND(H831*G831,2)</f>
        <v>2.02</v>
      </c>
      <c r="L831" s="94"/>
      <c r="M831" s="94"/>
      <c r="N831" s="94"/>
      <c r="O831" s="94"/>
      <c r="P831" s="94"/>
      <c r="Q831" s="94"/>
      <c r="R831" s="25"/>
    </row>
    <row r="832" spans="1:18" x14ac:dyDescent="0.25">
      <c r="A832" s="133" t="s">
        <v>22</v>
      </c>
      <c r="B832" s="89"/>
      <c r="C832" s="89">
        <v>88264</v>
      </c>
      <c r="D832" s="89"/>
      <c r="E832" s="90" t="s">
        <v>594</v>
      </c>
      <c r="F832" s="89" t="s">
        <v>29</v>
      </c>
      <c r="G832" s="106">
        <v>0.106</v>
      </c>
      <c r="H832" s="91">
        <f>H826</f>
        <v>24.73</v>
      </c>
      <c r="I832" s="117" t="s">
        <v>1193</v>
      </c>
      <c r="J832" s="91"/>
      <c r="K832" s="91">
        <f>ROUND(H832*G832,2)</f>
        <v>2.62</v>
      </c>
      <c r="L832" s="91"/>
      <c r="M832" s="91"/>
      <c r="N832" s="91"/>
      <c r="O832" s="91"/>
      <c r="P832" s="91"/>
      <c r="Q832" s="91"/>
      <c r="R832" s="25"/>
    </row>
    <row r="833" spans="1:18" x14ac:dyDescent="0.25">
      <c r="A833" s="134" t="s">
        <v>22</v>
      </c>
      <c r="B833" s="92"/>
      <c r="C833" s="92">
        <v>2685</v>
      </c>
      <c r="D833" s="92"/>
      <c r="E833" s="93" t="s">
        <v>795</v>
      </c>
      <c r="F833" s="92" t="s">
        <v>39</v>
      </c>
      <c r="G833" s="103">
        <v>1.0169999999999999</v>
      </c>
      <c r="H833" s="94">
        <v>6.96</v>
      </c>
      <c r="I833" s="116" t="s">
        <v>1193</v>
      </c>
      <c r="J833" s="94">
        <f>ROUND(H833*G833,2)</f>
        <v>7.08</v>
      </c>
      <c r="K833" s="94"/>
      <c r="L833" s="94"/>
      <c r="M833" s="94"/>
      <c r="N833" s="94"/>
      <c r="O833" s="94"/>
      <c r="P833" s="94"/>
      <c r="Q833" s="94"/>
      <c r="R833" s="25"/>
    </row>
    <row r="834" spans="1:18" x14ac:dyDescent="0.25">
      <c r="A834" s="133" t="s">
        <v>22</v>
      </c>
      <c r="B834" s="89"/>
      <c r="C834" s="89">
        <v>91170</v>
      </c>
      <c r="D834" s="89"/>
      <c r="E834" s="90" t="s">
        <v>792</v>
      </c>
      <c r="F834" s="89" t="s">
        <v>39</v>
      </c>
      <c r="G834" s="118">
        <v>1</v>
      </c>
      <c r="H834" s="91">
        <f>H828</f>
        <v>2.5299999999999998</v>
      </c>
      <c r="I834" s="117" t="s">
        <v>1193</v>
      </c>
      <c r="J834" s="91">
        <f>ROUND(H834*G834,2)</f>
        <v>2.5299999999999998</v>
      </c>
      <c r="K834" s="91"/>
      <c r="L834" s="91"/>
      <c r="M834" s="91"/>
      <c r="N834" s="91"/>
      <c r="O834" s="91"/>
      <c r="P834" s="91"/>
      <c r="Q834" s="91"/>
      <c r="R834" s="25"/>
    </row>
    <row r="835" spans="1:18" x14ac:dyDescent="0.25">
      <c r="A835" s="163"/>
      <c r="B835" s="101"/>
      <c r="C835" s="101"/>
      <c r="D835" s="101"/>
      <c r="E835" s="102"/>
      <c r="F835" s="101"/>
      <c r="G835" s="96"/>
      <c r="H835" s="96"/>
      <c r="I835" s="169" t="s">
        <v>1193</v>
      </c>
      <c r="J835" s="96"/>
      <c r="K835" s="96"/>
      <c r="L835" s="96"/>
      <c r="M835" s="96"/>
      <c r="N835" s="96"/>
      <c r="O835" s="96"/>
      <c r="P835" s="96"/>
      <c r="Q835" s="96"/>
      <c r="R835" s="25"/>
    </row>
    <row r="836" spans="1:18" s="25" customFormat="1" ht="75" customHeight="1" x14ac:dyDescent="0.25">
      <c r="A836" s="149" t="s">
        <v>22</v>
      </c>
      <c r="B836" s="148"/>
      <c r="C836" s="148">
        <v>91865</v>
      </c>
      <c r="D836" s="143" t="s">
        <v>796</v>
      </c>
      <c r="E836" s="144" t="s">
        <v>797</v>
      </c>
      <c r="F836" s="143" t="s">
        <v>39</v>
      </c>
      <c r="G836" s="146"/>
      <c r="H836" s="146"/>
      <c r="I836" s="146">
        <v>0.67</v>
      </c>
      <c r="J836" s="146">
        <f>SUM(J837:J840)</f>
        <v>11.959999999999999</v>
      </c>
      <c r="K836" s="146">
        <f>SUM(K837:K840)</f>
        <v>5.87</v>
      </c>
      <c r="L836" s="146">
        <f>J836+K836</f>
        <v>17.829999999999998</v>
      </c>
      <c r="M836" s="146">
        <f>I836*J836</f>
        <v>8.0131999999999994</v>
      </c>
      <c r="N836" s="146">
        <f>I836*K836</f>
        <v>3.9329000000000005</v>
      </c>
      <c r="O836" s="146">
        <f>M836+N836</f>
        <v>11.946099999999999</v>
      </c>
      <c r="P836" s="146">
        <f>O836*$P$1</f>
        <v>3.0653692599999998</v>
      </c>
      <c r="Q836" s="146">
        <f>P836+O836</f>
        <v>15.011469259999998</v>
      </c>
    </row>
    <row r="837" spans="1:18" x14ac:dyDescent="0.25">
      <c r="A837" s="134" t="s">
        <v>22</v>
      </c>
      <c r="B837" s="92"/>
      <c r="C837" s="92">
        <v>88247</v>
      </c>
      <c r="D837" s="92"/>
      <c r="E837" s="93" t="s">
        <v>599</v>
      </c>
      <c r="F837" s="92" t="s">
        <v>29</v>
      </c>
      <c r="G837" s="103">
        <v>0.13400000000000001</v>
      </c>
      <c r="H837" s="94">
        <f>H825</f>
        <v>19.100000000000001</v>
      </c>
      <c r="I837" s="116" t="s">
        <v>1193</v>
      </c>
      <c r="J837" s="94"/>
      <c r="K837" s="94">
        <f>ROUND(H837*G837,2)</f>
        <v>2.56</v>
      </c>
      <c r="L837" s="94"/>
      <c r="M837" s="94"/>
      <c r="N837" s="94"/>
      <c r="O837" s="94"/>
      <c r="P837" s="94"/>
      <c r="Q837" s="94"/>
      <c r="R837" s="25"/>
    </row>
    <row r="838" spans="1:18" x14ac:dyDescent="0.25">
      <c r="A838" s="133" t="s">
        <v>22</v>
      </c>
      <c r="B838" s="89"/>
      <c r="C838" s="89">
        <v>88264</v>
      </c>
      <c r="D838" s="89"/>
      <c r="E838" s="90" t="s">
        <v>594</v>
      </c>
      <c r="F838" s="89" t="s">
        <v>29</v>
      </c>
      <c r="G838" s="106">
        <v>0.13400000000000001</v>
      </c>
      <c r="H838" s="91">
        <f>H826</f>
        <v>24.73</v>
      </c>
      <c r="I838" s="117" t="s">
        <v>1193</v>
      </c>
      <c r="J838" s="91"/>
      <c r="K838" s="91">
        <f>ROUND(H838*G838,2)</f>
        <v>3.31</v>
      </c>
      <c r="L838" s="91"/>
      <c r="M838" s="91"/>
      <c r="N838" s="91"/>
      <c r="O838" s="91"/>
      <c r="P838" s="91"/>
      <c r="Q838" s="91"/>
      <c r="R838" s="25"/>
    </row>
    <row r="839" spans="1:18" x14ac:dyDescent="0.25">
      <c r="A839" s="134" t="s">
        <v>22</v>
      </c>
      <c r="B839" s="92"/>
      <c r="C839" s="92">
        <v>2684</v>
      </c>
      <c r="D839" s="92"/>
      <c r="E839" s="93" t="s">
        <v>798</v>
      </c>
      <c r="F839" s="92" t="s">
        <v>39</v>
      </c>
      <c r="G839" s="103">
        <v>1.0169999999999999</v>
      </c>
      <c r="H839" s="94">
        <v>9.27</v>
      </c>
      <c r="I839" s="116" t="s">
        <v>1193</v>
      </c>
      <c r="J839" s="94">
        <f>ROUND(H839*G839,2)</f>
        <v>9.43</v>
      </c>
      <c r="K839" s="94"/>
      <c r="L839" s="94"/>
      <c r="M839" s="94"/>
      <c r="N839" s="94"/>
      <c r="O839" s="94"/>
      <c r="P839" s="94"/>
      <c r="Q839" s="94"/>
      <c r="R839" s="25"/>
    </row>
    <row r="840" spans="1:18" x14ac:dyDescent="0.25">
      <c r="A840" s="133" t="s">
        <v>22</v>
      </c>
      <c r="B840" s="89"/>
      <c r="C840" s="89">
        <v>91170</v>
      </c>
      <c r="D840" s="89"/>
      <c r="E840" s="90" t="s">
        <v>792</v>
      </c>
      <c r="F840" s="89" t="s">
        <v>39</v>
      </c>
      <c r="G840" s="118">
        <v>1</v>
      </c>
      <c r="H840" s="91">
        <f>H828</f>
        <v>2.5299999999999998</v>
      </c>
      <c r="I840" s="117" t="s">
        <v>1193</v>
      </c>
      <c r="J840" s="91">
        <f>ROUND(H840*G840,2)</f>
        <v>2.5299999999999998</v>
      </c>
      <c r="K840" s="91"/>
      <c r="L840" s="91"/>
      <c r="M840" s="91"/>
      <c r="N840" s="91"/>
      <c r="O840" s="91"/>
      <c r="P840" s="91"/>
      <c r="Q840" s="91"/>
      <c r="R840" s="25"/>
    </row>
    <row r="841" spans="1:18" x14ac:dyDescent="0.25">
      <c r="A841" s="163"/>
      <c r="B841" s="101"/>
      <c r="C841" s="101"/>
      <c r="D841" s="101"/>
      <c r="E841" s="102"/>
      <c r="F841" s="101"/>
      <c r="G841" s="96"/>
      <c r="H841" s="96"/>
      <c r="I841" s="169" t="s">
        <v>1193</v>
      </c>
      <c r="J841" s="96"/>
      <c r="K841" s="96"/>
      <c r="L841" s="96"/>
      <c r="M841" s="96"/>
      <c r="N841" s="96"/>
      <c r="O841" s="96"/>
      <c r="P841" s="96"/>
      <c r="Q841" s="96"/>
      <c r="R841" s="25"/>
    </row>
    <row r="842" spans="1:18" s="25" customFormat="1" ht="71.45" customHeight="1" x14ac:dyDescent="0.25">
      <c r="A842" s="149" t="s">
        <v>22</v>
      </c>
      <c r="B842" s="148"/>
      <c r="C842" s="148">
        <v>93008</v>
      </c>
      <c r="D842" s="143" t="s">
        <v>799</v>
      </c>
      <c r="E842" s="144" t="s">
        <v>800</v>
      </c>
      <c r="F842" s="143" t="s">
        <v>39</v>
      </c>
      <c r="G842" s="146"/>
      <c r="H842" s="146"/>
      <c r="I842" s="146">
        <v>0.67</v>
      </c>
      <c r="J842" s="146">
        <f>SUM(J843:J846)</f>
        <v>14.370000000000001</v>
      </c>
      <c r="K842" s="146">
        <f>SUM(K843:K846)</f>
        <v>4.91</v>
      </c>
      <c r="L842" s="146">
        <f>J842+K842</f>
        <v>19.28</v>
      </c>
      <c r="M842" s="146">
        <f>I842*J842</f>
        <v>9.6279000000000021</v>
      </c>
      <c r="N842" s="146">
        <f>I842*K842</f>
        <v>3.2897000000000003</v>
      </c>
      <c r="O842" s="146">
        <f>M842+N842</f>
        <v>12.917600000000002</v>
      </c>
      <c r="P842" s="146">
        <f>O842*$P$1</f>
        <v>3.3146561600000006</v>
      </c>
      <c r="Q842" s="146">
        <f>P842+O842</f>
        <v>16.232256160000002</v>
      </c>
    </row>
    <row r="843" spans="1:18" x14ac:dyDescent="0.25">
      <c r="A843" s="134" t="s">
        <v>22</v>
      </c>
      <c r="B843" s="92"/>
      <c r="C843" s="92">
        <v>88247</v>
      </c>
      <c r="D843" s="92"/>
      <c r="E843" s="93" t="s">
        <v>599</v>
      </c>
      <c r="F843" s="92" t="s">
        <v>29</v>
      </c>
      <c r="G843" s="103">
        <v>0.112</v>
      </c>
      <c r="H843" s="94">
        <f>H825</f>
        <v>19.100000000000001</v>
      </c>
      <c r="I843" s="116" t="s">
        <v>1193</v>
      </c>
      <c r="J843" s="94"/>
      <c r="K843" s="94">
        <f>ROUND(H843*G843,2)</f>
        <v>2.14</v>
      </c>
      <c r="L843" s="94"/>
      <c r="M843" s="94"/>
      <c r="N843" s="94"/>
      <c r="O843" s="94"/>
      <c r="P843" s="94"/>
      <c r="Q843" s="94"/>
      <c r="R843" s="25"/>
    </row>
    <row r="844" spans="1:18" x14ac:dyDescent="0.25">
      <c r="A844" s="133" t="s">
        <v>22</v>
      </c>
      <c r="B844" s="89"/>
      <c r="C844" s="89">
        <v>88264</v>
      </c>
      <c r="D844" s="89"/>
      <c r="E844" s="90" t="s">
        <v>594</v>
      </c>
      <c r="F844" s="89" t="s">
        <v>29</v>
      </c>
      <c r="G844" s="106">
        <v>0.112</v>
      </c>
      <c r="H844" s="91">
        <f>H826</f>
        <v>24.73</v>
      </c>
      <c r="I844" s="117" t="s">
        <v>1193</v>
      </c>
      <c r="J844" s="91"/>
      <c r="K844" s="91">
        <f>ROUND(H844*G844,2)</f>
        <v>2.77</v>
      </c>
      <c r="L844" s="91"/>
      <c r="M844" s="91"/>
      <c r="N844" s="91"/>
      <c r="O844" s="91"/>
      <c r="P844" s="91"/>
      <c r="Q844" s="91"/>
      <c r="R844" s="25"/>
    </row>
    <row r="845" spans="1:18" x14ac:dyDescent="0.25">
      <c r="A845" s="134" t="s">
        <v>22</v>
      </c>
      <c r="B845" s="92"/>
      <c r="C845" s="92">
        <v>2680</v>
      </c>
      <c r="D845" s="92"/>
      <c r="E845" s="93" t="s">
        <v>801</v>
      </c>
      <c r="F845" s="92" t="s">
        <v>39</v>
      </c>
      <c r="G845" s="94">
        <v>1.1000000000000001</v>
      </c>
      <c r="H845" s="94">
        <v>10.19</v>
      </c>
      <c r="I845" s="116" t="s">
        <v>1193</v>
      </c>
      <c r="J845" s="94">
        <f>ROUND(H845*G845,2)</f>
        <v>11.21</v>
      </c>
      <c r="K845" s="94"/>
      <c r="L845" s="94"/>
      <c r="M845" s="94"/>
      <c r="N845" s="94"/>
      <c r="O845" s="94"/>
      <c r="P845" s="94"/>
      <c r="Q845" s="94"/>
      <c r="R845" s="25"/>
    </row>
    <row r="846" spans="1:18" x14ac:dyDescent="0.25">
      <c r="A846" s="133" t="s">
        <v>22</v>
      </c>
      <c r="B846" s="89"/>
      <c r="C846" s="89">
        <v>91171</v>
      </c>
      <c r="D846" s="89"/>
      <c r="E846" s="90" t="s">
        <v>802</v>
      </c>
      <c r="F846" s="89" t="s">
        <v>39</v>
      </c>
      <c r="G846" s="91">
        <v>1</v>
      </c>
      <c r="H846" s="91">
        <v>3.16</v>
      </c>
      <c r="I846" s="117" t="s">
        <v>1193</v>
      </c>
      <c r="J846" s="91">
        <f>ROUND(H846*G846,2)</f>
        <v>3.16</v>
      </c>
      <c r="K846" s="91"/>
      <c r="L846" s="91"/>
      <c r="M846" s="91"/>
      <c r="N846" s="91"/>
      <c r="O846" s="91"/>
      <c r="P846" s="91"/>
      <c r="Q846" s="91"/>
      <c r="R846" s="25"/>
    </row>
    <row r="847" spans="1:18" x14ac:dyDescent="0.25">
      <c r="A847" s="163"/>
      <c r="B847" s="101"/>
      <c r="C847" s="101"/>
      <c r="D847" s="101"/>
      <c r="E847" s="102"/>
      <c r="F847" s="101"/>
      <c r="G847" s="96"/>
      <c r="H847" s="96"/>
      <c r="I847" s="169" t="s">
        <v>1193</v>
      </c>
      <c r="J847" s="96"/>
      <c r="K847" s="96"/>
      <c r="L847" s="96"/>
      <c r="M847" s="96"/>
      <c r="N847" s="96"/>
      <c r="O847" s="96"/>
      <c r="P847" s="96"/>
      <c r="Q847" s="96"/>
      <c r="R847" s="25"/>
    </row>
    <row r="848" spans="1:18" s="25" customFormat="1" ht="45" x14ac:dyDescent="0.25">
      <c r="A848" s="149" t="s">
        <v>22</v>
      </c>
      <c r="B848" s="148"/>
      <c r="C848" s="148">
        <v>93009</v>
      </c>
      <c r="D848" s="143" t="s">
        <v>803</v>
      </c>
      <c r="E848" s="144" t="s">
        <v>804</v>
      </c>
      <c r="F848" s="143" t="s">
        <v>39</v>
      </c>
      <c r="G848" s="146"/>
      <c r="H848" s="146"/>
      <c r="I848" s="146">
        <v>0.67</v>
      </c>
      <c r="J848" s="146">
        <f>SUM(J849:J852)</f>
        <v>22.32</v>
      </c>
      <c r="K848" s="146">
        <f>SUM(K849:K852)</f>
        <v>5.65</v>
      </c>
      <c r="L848" s="146">
        <f>J848+K848</f>
        <v>27.97</v>
      </c>
      <c r="M848" s="146">
        <f>I848*J848</f>
        <v>14.954400000000001</v>
      </c>
      <c r="N848" s="146">
        <f>I848*K848</f>
        <v>3.7855000000000003</v>
      </c>
      <c r="O848" s="146">
        <f>M848+N848</f>
        <v>18.739900000000002</v>
      </c>
      <c r="P848" s="146">
        <f>O848*$P$1</f>
        <v>4.80865834</v>
      </c>
      <c r="Q848" s="146">
        <f>P848+O848</f>
        <v>23.548558340000003</v>
      </c>
    </row>
    <row r="849" spans="1:18" x14ac:dyDescent="0.25">
      <c r="A849" s="134" t="s">
        <v>22</v>
      </c>
      <c r="B849" s="92"/>
      <c r="C849" s="92">
        <v>88247</v>
      </c>
      <c r="D849" s="92"/>
      <c r="E849" s="93" t="s">
        <v>599</v>
      </c>
      <c r="F849" s="92" t="s">
        <v>29</v>
      </c>
      <c r="G849" s="103">
        <v>0.129</v>
      </c>
      <c r="H849" s="94">
        <f>H825</f>
        <v>19.100000000000001</v>
      </c>
      <c r="I849" s="116" t="s">
        <v>1193</v>
      </c>
      <c r="J849" s="94"/>
      <c r="K849" s="94">
        <f>ROUND(H849*G849,2)</f>
        <v>2.46</v>
      </c>
      <c r="L849" s="94"/>
      <c r="M849" s="94"/>
      <c r="N849" s="94"/>
      <c r="O849" s="94"/>
      <c r="P849" s="94"/>
      <c r="Q849" s="94"/>
      <c r="R849" s="25"/>
    </row>
    <row r="850" spans="1:18" x14ac:dyDescent="0.25">
      <c r="A850" s="133" t="s">
        <v>22</v>
      </c>
      <c r="B850" s="89"/>
      <c r="C850" s="89">
        <v>88264</v>
      </c>
      <c r="D850" s="89"/>
      <c r="E850" s="90" t="s">
        <v>594</v>
      </c>
      <c r="F850" s="89" t="s">
        <v>29</v>
      </c>
      <c r="G850" s="106">
        <v>0.129</v>
      </c>
      <c r="H850" s="91">
        <f>H826</f>
        <v>24.73</v>
      </c>
      <c r="I850" s="117" t="s">
        <v>1193</v>
      </c>
      <c r="J850" s="91"/>
      <c r="K850" s="91">
        <f>ROUND(H850*G850,2)</f>
        <v>3.19</v>
      </c>
      <c r="L850" s="91"/>
      <c r="M850" s="91"/>
      <c r="N850" s="91"/>
      <c r="O850" s="91"/>
      <c r="P850" s="91"/>
      <c r="Q850" s="91"/>
      <c r="R850" s="25"/>
    </row>
    <row r="851" spans="1:18" x14ac:dyDescent="0.25">
      <c r="A851" s="134" t="s">
        <v>22</v>
      </c>
      <c r="B851" s="92"/>
      <c r="C851" s="92">
        <v>2681</v>
      </c>
      <c r="D851" s="92"/>
      <c r="E851" s="93" t="s">
        <v>805</v>
      </c>
      <c r="F851" s="92" t="s">
        <v>39</v>
      </c>
      <c r="G851" s="94">
        <v>1.1499999999999999</v>
      </c>
      <c r="H851" s="94">
        <v>16.66</v>
      </c>
      <c r="I851" s="116" t="s">
        <v>1193</v>
      </c>
      <c r="J851" s="94">
        <f>ROUND(H851*G851,2)</f>
        <v>19.16</v>
      </c>
      <c r="K851" s="94"/>
      <c r="L851" s="94"/>
      <c r="M851" s="94"/>
      <c r="N851" s="94"/>
      <c r="O851" s="94"/>
      <c r="P851" s="94"/>
      <c r="Q851" s="94"/>
      <c r="R851" s="25"/>
    </row>
    <row r="852" spans="1:18" x14ac:dyDescent="0.25">
      <c r="A852" s="133" t="s">
        <v>22</v>
      </c>
      <c r="B852" s="89"/>
      <c r="C852" s="89">
        <v>91171</v>
      </c>
      <c r="D852" s="89"/>
      <c r="E852" s="90" t="s">
        <v>802</v>
      </c>
      <c r="F852" s="89" t="s">
        <v>39</v>
      </c>
      <c r="G852" s="91">
        <v>1</v>
      </c>
      <c r="H852" s="91">
        <f>H846</f>
        <v>3.16</v>
      </c>
      <c r="I852" s="117" t="s">
        <v>1193</v>
      </c>
      <c r="J852" s="91">
        <f>ROUND(H852*G852,2)</f>
        <v>3.16</v>
      </c>
      <c r="K852" s="91"/>
      <c r="L852" s="91"/>
      <c r="M852" s="91"/>
      <c r="N852" s="91"/>
      <c r="O852" s="91"/>
      <c r="P852" s="91"/>
      <c r="Q852" s="91"/>
      <c r="R852" s="25"/>
    </row>
    <row r="853" spans="1:18" x14ac:dyDescent="0.25">
      <c r="A853" s="163"/>
      <c r="B853" s="101"/>
      <c r="C853" s="101"/>
      <c r="D853" s="101"/>
      <c r="E853" s="102"/>
      <c r="F853" s="101"/>
      <c r="G853" s="96"/>
      <c r="H853" s="96"/>
      <c r="I853" s="169" t="s">
        <v>1193</v>
      </c>
      <c r="J853" s="96"/>
      <c r="K853" s="96"/>
      <c r="L853" s="96"/>
      <c r="M853" s="96"/>
      <c r="N853" s="96"/>
      <c r="O853" s="96"/>
      <c r="P853" s="96"/>
      <c r="Q853" s="96"/>
      <c r="R853" s="25"/>
    </row>
    <row r="854" spans="1:18" s="25" customFormat="1" ht="45" x14ac:dyDescent="0.25">
      <c r="A854" s="149"/>
      <c r="B854" s="148"/>
      <c r="C854" s="148"/>
      <c r="D854" s="143" t="s">
        <v>806</v>
      </c>
      <c r="E854" s="144" t="s">
        <v>807</v>
      </c>
      <c r="F854" s="143" t="s">
        <v>39</v>
      </c>
      <c r="G854" s="146"/>
      <c r="H854" s="146"/>
      <c r="I854" s="146">
        <v>0.67</v>
      </c>
      <c r="J854" s="146">
        <f>SUM(J855:J858)</f>
        <v>27.18</v>
      </c>
      <c r="K854" s="146">
        <f>SUM(K855:K858)</f>
        <v>13.15</v>
      </c>
      <c r="L854" s="146">
        <f>J854+K854</f>
        <v>40.33</v>
      </c>
      <c r="M854" s="146">
        <f>I854*J854</f>
        <v>18.210599999999999</v>
      </c>
      <c r="N854" s="146">
        <f>I854*K854</f>
        <v>8.8105000000000011</v>
      </c>
      <c r="O854" s="146">
        <f>M854+N854</f>
        <v>27.021100000000001</v>
      </c>
      <c r="P854" s="146">
        <f>O854*$P$1</f>
        <v>6.9336142599999997</v>
      </c>
      <c r="Q854" s="146">
        <f>P854+O854</f>
        <v>33.954714260000003</v>
      </c>
    </row>
    <row r="855" spans="1:18" x14ac:dyDescent="0.25">
      <c r="A855" s="134" t="s">
        <v>22</v>
      </c>
      <c r="B855" s="92"/>
      <c r="C855" s="92">
        <v>88247</v>
      </c>
      <c r="D855" s="92"/>
      <c r="E855" s="93" t="s">
        <v>599</v>
      </c>
      <c r="F855" s="92" t="s">
        <v>29</v>
      </c>
      <c r="G855" s="94">
        <v>0.3</v>
      </c>
      <c r="H855" s="94">
        <f>H825</f>
        <v>19.100000000000001</v>
      </c>
      <c r="I855" s="116" t="s">
        <v>1193</v>
      </c>
      <c r="J855" s="94"/>
      <c r="K855" s="94">
        <f>ROUND(H855*G855,2)</f>
        <v>5.73</v>
      </c>
      <c r="L855" s="94"/>
      <c r="M855" s="94"/>
      <c r="N855" s="94"/>
      <c r="O855" s="94"/>
      <c r="P855" s="94"/>
      <c r="Q855" s="94"/>
      <c r="R855" s="25"/>
    </row>
    <row r="856" spans="1:18" x14ac:dyDescent="0.25">
      <c r="A856" s="133" t="s">
        <v>22</v>
      </c>
      <c r="B856" s="89"/>
      <c r="C856" s="89">
        <v>88264</v>
      </c>
      <c r="D856" s="89"/>
      <c r="E856" s="90" t="s">
        <v>594</v>
      </c>
      <c r="F856" s="89" t="s">
        <v>29</v>
      </c>
      <c r="G856" s="91">
        <v>0.3</v>
      </c>
      <c r="H856" s="91">
        <f>H826</f>
        <v>24.73</v>
      </c>
      <c r="I856" s="117" t="s">
        <v>1193</v>
      </c>
      <c r="J856" s="91"/>
      <c r="K856" s="91">
        <f>ROUND(H856*G856,2)</f>
        <v>7.42</v>
      </c>
      <c r="L856" s="91"/>
      <c r="M856" s="91"/>
      <c r="N856" s="91"/>
      <c r="O856" s="91"/>
      <c r="P856" s="91"/>
      <c r="Q856" s="91"/>
      <c r="R856" s="25"/>
    </row>
    <row r="857" spans="1:18" x14ac:dyDescent="0.25">
      <c r="A857" s="134" t="s">
        <v>35</v>
      </c>
      <c r="B857" s="92"/>
      <c r="C857" s="92" t="s">
        <v>808</v>
      </c>
      <c r="D857" s="92"/>
      <c r="E857" s="93" t="s">
        <v>809</v>
      </c>
      <c r="F857" s="92" t="s">
        <v>39</v>
      </c>
      <c r="G857" s="94">
        <v>1.05</v>
      </c>
      <c r="H857" s="94">
        <v>23.48</v>
      </c>
      <c r="I857" s="116" t="s">
        <v>1193</v>
      </c>
      <c r="J857" s="94">
        <f>ROUND(H857*G857,2)</f>
        <v>24.65</v>
      </c>
      <c r="K857" s="94"/>
      <c r="L857" s="94"/>
      <c r="M857" s="94"/>
      <c r="N857" s="94"/>
      <c r="O857" s="94"/>
      <c r="P857" s="94"/>
      <c r="Q857" s="94"/>
      <c r="R857" s="25"/>
    </row>
    <row r="858" spans="1:18" x14ac:dyDescent="0.25">
      <c r="A858" s="133" t="s">
        <v>22</v>
      </c>
      <c r="B858" s="89"/>
      <c r="C858" s="89">
        <v>91170</v>
      </c>
      <c r="D858" s="89"/>
      <c r="E858" s="90" t="s">
        <v>792</v>
      </c>
      <c r="F858" s="89" t="s">
        <v>39</v>
      </c>
      <c r="G858" s="91">
        <v>1</v>
      </c>
      <c r="H858" s="91">
        <f>H828</f>
        <v>2.5299999999999998</v>
      </c>
      <c r="I858" s="117" t="s">
        <v>1193</v>
      </c>
      <c r="J858" s="91">
        <f>ROUND(H858*G858,2)</f>
        <v>2.5299999999999998</v>
      </c>
      <c r="K858" s="91"/>
      <c r="L858" s="91"/>
      <c r="M858" s="91"/>
      <c r="N858" s="91"/>
      <c r="O858" s="91"/>
      <c r="P858" s="91"/>
      <c r="Q858" s="91"/>
      <c r="R858" s="25"/>
    </row>
    <row r="859" spans="1:18" x14ac:dyDescent="0.25">
      <c r="A859" s="163"/>
      <c r="B859" s="101"/>
      <c r="C859" s="101"/>
      <c r="D859" s="101"/>
      <c r="E859" s="102"/>
      <c r="F859" s="101"/>
      <c r="G859" s="96"/>
      <c r="H859" s="96"/>
      <c r="I859" s="169" t="s">
        <v>1193</v>
      </c>
      <c r="J859" s="96"/>
      <c r="K859" s="96"/>
      <c r="L859" s="96"/>
      <c r="M859" s="96"/>
      <c r="N859" s="96"/>
      <c r="O859" s="96"/>
      <c r="P859" s="96"/>
      <c r="Q859" s="96"/>
      <c r="R859" s="25"/>
    </row>
    <row r="860" spans="1:18" s="25" customFormat="1" ht="45" x14ac:dyDescent="0.25">
      <c r="A860" s="149"/>
      <c r="B860" s="148"/>
      <c r="C860" s="148"/>
      <c r="D860" s="143" t="s">
        <v>810</v>
      </c>
      <c r="E860" s="144" t="s">
        <v>811</v>
      </c>
      <c r="F860" s="143" t="s">
        <v>39</v>
      </c>
      <c r="G860" s="146"/>
      <c r="H860" s="146"/>
      <c r="I860" s="146">
        <v>0.67</v>
      </c>
      <c r="J860" s="146">
        <f>SUM(J861:J864)</f>
        <v>43.32</v>
      </c>
      <c r="K860" s="146">
        <f>SUM(K861:K864)</f>
        <v>13.15</v>
      </c>
      <c r="L860" s="146">
        <f>J860+K860</f>
        <v>56.47</v>
      </c>
      <c r="M860" s="146">
        <f>I860*J860</f>
        <v>29.024400000000004</v>
      </c>
      <c r="N860" s="146">
        <f>I860*K860</f>
        <v>8.8105000000000011</v>
      </c>
      <c r="O860" s="146">
        <f>M860+N860</f>
        <v>37.834900000000005</v>
      </c>
      <c r="P860" s="146">
        <f>O860*$P$1</f>
        <v>9.7084353400000012</v>
      </c>
      <c r="Q860" s="146">
        <f>P860+O860</f>
        <v>47.543335340000006</v>
      </c>
    </row>
    <row r="861" spans="1:18" x14ac:dyDescent="0.25">
      <c r="A861" s="134" t="s">
        <v>22</v>
      </c>
      <c r="B861" s="92"/>
      <c r="C861" s="92">
        <v>88247</v>
      </c>
      <c r="D861" s="92"/>
      <c r="E861" s="93" t="s">
        <v>599</v>
      </c>
      <c r="F861" s="92" t="s">
        <v>29</v>
      </c>
      <c r="G861" s="94">
        <v>0.3</v>
      </c>
      <c r="H861" s="94">
        <f>H825</f>
        <v>19.100000000000001</v>
      </c>
      <c r="I861" s="116" t="s">
        <v>1193</v>
      </c>
      <c r="J861" s="94"/>
      <c r="K861" s="94">
        <f>ROUND(H861*G861,2)</f>
        <v>5.73</v>
      </c>
      <c r="L861" s="94"/>
      <c r="M861" s="94"/>
      <c r="N861" s="94"/>
      <c r="O861" s="94"/>
      <c r="P861" s="94"/>
      <c r="Q861" s="94"/>
      <c r="R861" s="25"/>
    </row>
    <row r="862" spans="1:18" x14ac:dyDescent="0.25">
      <c r="A862" s="133" t="s">
        <v>22</v>
      </c>
      <c r="B862" s="89"/>
      <c r="C862" s="89">
        <v>88264</v>
      </c>
      <c r="D862" s="89"/>
      <c r="E862" s="90" t="s">
        <v>594</v>
      </c>
      <c r="F862" s="89" t="s">
        <v>29</v>
      </c>
      <c r="G862" s="91">
        <v>0.3</v>
      </c>
      <c r="H862" s="91">
        <f>H826</f>
        <v>24.73</v>
      </c>
      <c r="I862" s="117" t="s">
        <v>1193</v>
      </c>
      <c r="J862" s="91"/>
      <c r="K862" s="91">
        <f>ROUND(H862*G862,2)</f>
        <v>7.42</v>
      </c>
      <c r="L862" s="91"/>
      <c r="M862" s="91"/>
      <c r="N862" s="91"/>
      <c r="O862" s="91"/>
      <c r="P862" s="91"/>
      <c r="Q862" s="91"/>
      <c r="R862" s="25"/>
    </row>
    <row r="863" spans="1:18" x14ac:dyDescent="0.25">
      <c r="A863" s="134" t="s">
        <v>35</v>
      </c>
      <c r="B863" s="92"/>
      <c r="C863" s="92" t="s">
        <v>812</v>
      </c>
      <c r="D863" s="92"/>
      <c r="E863" s="93" t="s">
        <v>813</v>
      </c>
      <c r="F863" s="92" t="s">
        <v>39</v>
      </c>
      <c r="G863" s="94">
        <v>1.05</v>
      </c>
      <c r="H863" s="94">
        <v>38.85</v>
      </c>
      <c r="I863" s="116" t="s">
        <v>1193</v>
      </c>
      <c r="J863" s="94">
        <f>ROUND(H863*G863,2)</f>
        <v>40.79</v>
      </c>
      <c r="K863" s="94"/>
      <c r="L863" s="94"/>
      <c r="M863" s="94"/>
      <c r="N863" s="94"/>
      <c r="O863" s="94"/>
      <c r="P863" s="94"/>
      <c r="Q863" s="94"/>
      <c r="R863" s="25"/>
    </row>
    <row r="864" spans="1:18" x14ac:dyDescent="0.25">
      <c r="A864" s="133" t="s">
        <v>22</v>
      </c>
      <c r="B864" s="89"/>
      <c r="C864" s="89">
        <v>91170</v>
      </c>
      <c r="D864" s="89"/>
      <c r="E864" s="90" t="s">
        <v>792</v>
      </c>
      <c r="F864" s="89" t="s">
        <v>39</v>
      </c>
      <c r="G864" s="91">
        <v>1</v>
      </c>
      <c r="H864" s="91">
        <f>H828</f>
        <v>2.5299999999999998</v>
      </c>
      <c r="I864" s="117" t="s">
        <v>1193</v>
      </c>
      <c r="J864" s="91">
        <f>ROUND(H864*G864,2)</f>
        <v>2.5299999999999998</v>
      </c>
      <c r="K864" s="91"/>
      <c r="L864" s="91"/>
      <c r="M864" s="91"/>
      <c r="N864" s="91"/>
      <c r="O864" s="91"/>
      <c r="P864" s="91"/>
      <c r="Q864" s="91"/>
      <c r="R864" s="25"/>
    </row>
    <row r="865" spans="1:18" x14ac:dyDescent="0.25">
      <c r="A865" s="163"/>
      <c r="B865" s="101"/>
      <c r="C865" s="101"/>
      <c r="D865" s="101"/>
      <c r="E865" s="102"/>
      <c r="F865" s="101"/>
      <c r="G865" s="96"/>
      <c r="H865" s="96"/>
      <c r="I865" s="169" t="s">
        <v>1193</v>
      </c>
      <c r="J865" s="96"/>
      <c r="K865" s="96"/>
      <c r="L865" s="96"/>
      <c r="M865" s="96"/>
      <c r="N865" s="96"/>
      <c r="O865" s="96"/>
      <c r="P865" s="96"/>
      <c r="Q865" s="96"/>
      <c r="R865" s="25"/>
    </row>
    <row r="866" spans="1:18" s="25" customFormat="1" ht="45" x14ac:dyDescent="0.25">
      <c r="A866" s="149"/>
      <c r="B866" s="148"/>
      <c r="C866" s="148"/>
      <c r="D866" s="143" t="s">
        <v>814</v>
      </c>
      <c r="E866" s="144" t="s">
        <v>815</v>
      </c>
      <c r="F866" s="143" t="s">
        <v>39</v>
      </c>
      <c r="G866" s="146"/>
      <c r="H866" s="146"/>
      <c r="I866" s="146">
        <v>0.67</v>
      </c>
      <c r="J866" s="146">
        <f>SUM(J867:J870)</f>
        <v>74.180000000000007</v>
      </c>
      <c r="K866" s="146">
        <f>SUM(K867:K870)</f>
        <v>19.73</v>
      </c>
      <c r="L866" s="146">
        <f>J866+K866</f>
        <v>93.910000000000011</v>
      </c>
      <c r="M866" s="146">
        <f>I866*J866</f>
        <v>49.700600000000009</v>
      </c>
      <c r="N866" s="146">
        <f>I866*K866</f>
        <v>13.219100000000001</v>
      </c>
      <c r="O866" s="146">
        <f>M866+N866</f>
        <v>62.919700000000006</v>
      </c>
      <c r="P866" s="146">
        <f>O866*$P$1</f>
        <v>16.145195020000003</v>
      </c>
      <c r="Q866" s="146">
        <f>P866+O866</f>
        <v>79.064895020000009</v>
      </c>
    </row>
    <row r="867" spans="1:18" x14ac:dyDescent="0.25">
      <c r="A867" s="134" t="s">
        <v>22</v>
      </c>
      <c r="B867" s="92"/>
      <c r="C867" s="92">
        <v>88247</v>
      </c>
      <c r="D867" s="92"/>
      <c r="E867" s="93" t="s">
        <v>599</v>
      </c>
      <c r="F867" s="92" t="s">
        <v>29</v>
      </c>
      <c r="G867" s="94">
        <v>0.45</v>
      </c>
      <c r="H867" s="94">
        <f>H825</f>
        <v>19.100000000000001</v>
      </c>
      <c r="I867" s="116" t="s">
        <v>1193</v>
      </c>
      <c r="J867" s="94"/>
      <c r="K867" s="94">
        <f>ROUND(H867*G867,2)</f>
        <v>8.6</v>
      </c>
      <c r="L867" s="94"/>
      <c r="M867" s="94"/>
      <c r="N867" s="94"/>
      <c r="O867" s="94"/>
      <c r="P867" s="94"/>
      <c r="Q867" s="94"/>
      <c r="R867" s="25"/>
    </row>
    <row r="868" spans="1:18" x14ac:dyDescent="0.25">
      <c r="A868" s="133" t="s">
        <v>22</v>
      </c>
      <c r="B868" s="89"/>
      <c r="C868" s="89">
        <v>88264</v>
      </c>
      <c r="D868" s="89"/>
      <c r="E868" s="90" t="s">
        <v>594</v>
      </c>
      <c r="F868" s="89" t="s">
        <v>29</v>
      </c>
      <c r="G868" s="91">
        <v>0.45</v>
      </c>
      <c r="H868" s="91">
        <f>H826</f>
        <v>24.73</v>
      </c>
      <c r="I868" s="117" t="s">
        <v>1193</v>
      </c>
      <c r="J868" s="91"/>
      <c r="K868" s="91">
        <f>ROUND(H868*G868,2)</f>
        <v>11.13</v>
      </c>
      <c r="L868" s="91"/>
      <c r="M868" s="91"/>
      <c r="N868" s="91"/>
      <c r="O868" s="91"/>
      <c r="P868" s="91"/>
      <c r="Q868" s="91"/>
      <c r="R868" s="25"/>
    </row>
    <row r="869" spans="1:18" x14ac:dyDescent="0.25">
      <c r="A869" s="134" t="s">
        <v>35</v>
      </c>
      <c r="B869" s="92"/>
      <c r="C869" s="92" t="s">
        <v>816</v>
      </c>
      <c r="D869" s="92"/>
      <c r="E869" s="93" t="s">
        <v>817</v>
      </c>
      <c r="F869" s="92" t="s">
        <v>39</v>
      </c>
      <c r="G869" s="94">
        <v>1.05</v>
      </c>
      <c r="H869" s="94">
        <v>68.239999999999995</v>
      </c>
      <c r="I869" s="116" t="s">
        <v>1193</v>
      </c>
      <c r="J869" s="94">
        <f>ROUND(H869*G869,2)</f>
        <v>71.650000000000006</v>
      </c>
      <c r="K869" s="94"/>
      <c r="L869" s="94"/>
      <c r="M869" s="94"/>
      <c r="N869" s="94"/>
      <c r="O869" s="94"/>
      <c r="P869" s="94"/>
      <c r="Q869" s="94"/>
      <c r="R869" s="25"/>
    </row>
    <row r="870" spans="1:18" x14ac:dyDescent="0.25">
      <c r="A870" s="133" t="s">
        <v>22</v>
      </c>
      <c r="B870" s="89"/>
      <c r="C870" s="89">
        <v>91170</v>
      </c>
      <c r="D870" s="89"/>
      <c r="E870" s="90" t="s">
        <v>792</v>
      </c>
      <c r="F870" s="89" t="s">
        <v>39</v>
      </c>
      <c r="G870" s="91">
        <v>1</v>
      </c>
      <c r="H870" s="91">
        <f>H828</f>
        <v>2.5299999999999998</v>
      </c>
      <c r="I870" s="117" t="s">
        <v>1193</v>
      </c>
      <c r="J870" s="91">
        <f>ROUND(H870*G870,2)</f>
        <v>2.5299999999999998</v>
      </c>
      <c r="K870" s="91"/>
      <c r="L870" s="91"/>
      <c r="M870" s="91"/>
      <c r="N870" s="91"/>
      <c r="O870" s="91"/>
      <c r="P870" s="91"/>
      <c r="Q870" s="91"/>
      <c r="R870" s="25"/>
    </row>
    <row r="871" spans="1:18" x14ac:dyDescent="0.25">
      <c r="A871" s="163"/>
      <c r="B871" s="101"/>
      <c r="C871" s="101"/>
      <c r="D871" s="101"/>
      <c r="E871" s="102"/>
      <c r="F871" s="101"/>
      <c r="G871" s="96"/>
      <c r="H871" s="96"/>
      <c r="I871" s="169" t="s">
        <v>1193</v>
      </c>
      <c r="J871" s="96"/>
      <c r="K871" s="96"/>
      <c r="L871" s="96"/>
      <c r="M871" s="96"/>
      <c r="N871" s="96"/>
      <c r="O871" s="96"/>
      <c r="P871" s="96"/>
      <c r="Q871" s="96"/>
      <c r="R871" s="25"/>
    </row>
    <row r="872" spans="1:18" s="25" customFormat="1" ht="45" x14ac:dyDescent="0.25">
      <c r="A872" s="149"/>
      <c r="B872" s="148"/>
      <c r="C872" s="148"/>
      <c r="D872" s="143" t="s">
        <v>818</v>
      </c>
      <c r="E872" s="144" t="s">
        <v>819</v>
      </c>
      <c r="F872" s="143" t="s">
        <v>39</v>
      </c>
      <c r="G872" s="146"/>
      <c r="H872" s="146"/>
      <c r="I872" s="146">
        <v>0.67</v>
      </c>
      <c r="J872" s="146">
        <f>SUM(J873:J876)</f>
        <v>83.66</v>
      </c>
      <c r="K872" s="146">
        <f>SUM(K873:K876)</f>
        <v>19.73</v>
      </c>
      <c r="L872" s="146">
        <f>J872+K872</f>
        <v>103.39</v>
      </c>
      <c r="M872" s="146">
        <f>I872*J872</f>
        <v>56.052199999999999</v>
      </c>
      <c r="N872" s="146">
        <f>I872*K872</f>
        <v>13.219100000000001</v>
      </c>
      <c r="O872" s="146">
        <f>M872+N872</f>
        <v>69.271299999999997</v>
      </c>
      <c r="P872" s="146">
        <f>O872*$P$1</f>
        <v>17.775015579999998</v>
      </c>
      <c r="Q872" s="146">
        <f>P872+O872</f>
        <v>87.046315579999998</v>
      </c>
    </row>
    <row r="873" spans="1:18" x14ac:dyDescent="0.25">
      <c r="A873" s="134" t="s">
        <v>22</v>
      </c>
      <c r="B873" s="92"/>
      <c r="C873" s="92">
        <v>88247</v>
      </c>
      <c r="D873" s="92"/>
      <c r="E873" s="93" t="s">
        <v>599</v>
      </c>
      <c r="F873" s="92" t="s">
        <v>29</v>
      </c>
      <c r="G873" s="94">
        <v>0.45</v>
      </c>
      <c r="H873" s="94">
        <f>H825</f>
        <v>19.100000000000001</v>
      </c>
      <c r="I873" s="116" t="s">
        <v>1193</v>
      </c>
      <c r="J873" s="94"/>
      <c r="K873" s="94">
        <f>ROUND(H873*G873,2)</f>
        <v>8.6</v>
      </c>
      <c r="L873" s="94"/>
      <c r="M873" s="94"/>
      <c r="N873" s="94"/>
      <c r="O873" s="94"/>
      <c r="P873" s="94"/>
      <c r="Q873" s="94"/>
      <c r="R873" s="25"/>
    </row>
    <row r="874" spans="1:18" x14ac:dyDescent="0.25">
      <c r="A874" s="133" t="s">
        <v>22</v>
      </c>
      <c r="B874" s="89"/>
      <c r="C874" s="89">
        <v>88264</v>
      </c>
      <c r="D874" s="89"/>
      <c r="E874" s="90" t="s">
        <v>594</v>
      </c>
      <c r="F874" s="89" t="s">
        <v>29</v>
      </c>
      <c r="G874" s="91">
        <v>0.45</v>
      </c>
      <c r="H874" s="91">
        <f>H826</f>
        <v>24.73</v>
      </c>
      <c r="I874" s="117" t="s">
        <v>1193</v>
      </c>
      <c r="J874" s="91"/>
      <c r="K874" s="91">
        <f>ROUND(H874*G874,2)</f>
        <v>11.13</v>
      </c>
      <c r="L874" s="91"/>
      <c r="M874" s="91"/>
      <c r="N874" s="91"/>
      <c r="O874" s="91"/>
      <c r="P874" s="91"/>
      <c r="Q874" s="91"/>
      <c r="R874" s="25"/>
    </row>
    <row r="875" spans="1:18" x14ac:dyDescent="0.25">
      <c r="A875" s="134" t="s">
        <v>35</v>
      </c>
      <c r="B875" s="92"/>
      <c r="C875" s="92" t="s">
        <v>820</v>
      </c>
      <c r="D875" s="92"/>
      <c r="E875" s="93" t="s">
        <v>821</v>
      </c>
      <c r="F875" s="92" t="s">
        <v>39</v>
      </c>
      <c r="G875" s="94">
        <v>1.05</v>
      </c>
      <c r="H875" s="94">
        <v>76.67</v>
      </c>
      <c r="I875" s="116" t="s">
        <v>1193</v>
      </c>
      <c r="J875" s="94">
        <f>ROUND(H875*G875,2)</f>
        <v>80.5</v>
      </c>
      <c r="K875" s="94"/>
      <c r="L875" s="94"/>
      <c r="M875" s="94"/>
      <c r="N875" s="94"/>
      <c r="O875" s="94"/>
      <c r="P875" s="94"/>
      <c r="Q875" s="94"/>
      <c r="R875" s="25"/>
    </row>
    <row r="876" spans="1:18" x14ac:dyDescent="0.25">
      <c r="A876" s="133" t="s">
        <v>22</v>
      </c>
      <c r="B876" s="89"/>
      <c r="C876" s="89">
        <v>91171</v>
      </c>
      <c r="D876" s="89"/>
      <c r="E876" s="90" t="s">
        <v>802</v>
      </c>
      <c r="F876" s="89" t="s">
        <v>39</v>
      </c>
      <c r="G876" s="91">
        <v>1</v>
      </c>
      <c r="H876" s="91">
        <f>H846</f>
        <v>3.16</v>
      </c>
      <c r="I876" s="117" t="s">
        <v>1193</v>
      </c>
      <c r="J876" s="91">
        <f>ROUND(H876*G876,2)</f>
        <v>3.16</v>
      </c>
      <c r="K876" s="91"/>
      <c r="L876" s="91"/>
      <c r="M876" s="91"/>
      <c r="N876" s="91"/>
      <c r="O876" s="91"/>
      <c r="P876" s="91"/>
      <c r="Q876" s="91"/>
      <c r="R876" s="25"/>
    </row>
    <row r="877" spans="1:18" x14ac:dyDescent="0.25">
      <c r="A877" s="163"/>
      <c r="B877" s="101"/>
      <c r="C877" s="101"/>
      <c r="D877" s="101"/>
      <c r="E877" s="102"/>
      <c r="F877" s="101"/>
      <c r="G877" s="96"/>
      <c r="H877" s="96"/>
      <c r="I877" s="169" t="s">
        <v>1193</v>
      </c>
      <c r="J877" s="96"/>
      <c r="K877" s="96"/>
      <c r="L877" s="96"/>
      <c r="M877" s="96"/>
      <c r="N877" s="96"/>
      <c r="O877" s="96"/>
      <c r="P877" s="96"/>
      <c r="Q877" s="96"/>
      <c r="R877" s="25"/>
    </row>
    <row r="878" spans="1:18" s="25" customFormat="1" ht="82.15" customHeight="1" x14ac:dyDescent="0.25">
      <c r="A878" s="149"/>
      <c r="B878" s="148"/>
      <c r="C878" s="148"/>
      <c r="D878" s="143" t="s">
        <v>822</v>
      </c>
      <c r="E878" s="144" t="s">
        <v>823</v>
      </c>
      <c r="F878" s="143" t="s">
        <v>39</v>
      </c>
      <c r="G878" s="146"/>
      <c r="H878" s="146"/>
      <c r="I878" s="146">
        <v>0.67</v>
      </c>
      <c r="J878" s="146">
        <f>SUM(J879:J882)</f>
        <v>105.67999999999999</v>
      </c>
      <c r="K878" s="146">
        <f>SUM(K879:K882)</f>
        <v>19.73</v>
      </c>
      <c r="L878" s="146">
        <f>J878+K878</f>
        <v>125.41</v>
      </c>
      <c r="M878" s="146">
        <f>I878*J878</f>
        <v>70.805599999999998</v>
      </c>
      <c r="N878" s="146">
        <f>I878*K878</f>
        <v>13.219100000000001</v>
      </c>
      <c r="O878" s="146">
        <f>M878+N878</f>
        <v>84.024699999999996</v>
      </c>
      <c r="P878" s="146">
        <f>O878*$P$1</f>
        <v>21.560738019999999</v>
      </c>
      <c r="Q878" s="146">
        <f>P878+O878</f>
        <v>105.58543802</v>
      </c>
    </row>
    <row r="879" spans="1:18" x14ac:dyDescent="0.25">
      <c r="A879" s="134" t="s">
        <v>22</v>
      </c>
      <c r="B879" s="92"/>
      <c r="C879" s="92">
        <v>88247</v>
      </c>
      <c r="D879" s="92"/>
      <c r="E879" s="93" t="s">
        <v>599</v>
      </c>
      <c r="F879" s="92" t="s">
        <v>29</v>
      </c>
      <c r="G879" s="94">
        <v>0.45</v>
      </c>
      <c r="H879" s="94">
        <f>H825</f>
        <v>19.100000000000001</v>
      </c>
      <c r="I879" s="116" t="s">
        <v>1193</v>
      </c>
      <c r="J879" s="94"/>
      <c r="K879" s="94">
        <f>ROUND(H879*G879,2)</f>
        <v>8.6</v>
      </c>
      <c r="L879" s="94"/>
      <c r="M879" s="94"/>
      <c r="N879" s="94"/>
      <c r="O879" s="94"/>
      <c r="P879" s="94"/>
      <c r="Q879" s="94"/>
      <c r="R879" s="25"/>
    </row>
    <row r="880" spans="1:18" x14ac:dyDescent="0.25">
      <c r="A880" s="133" t="s">
        <v>22</v>
      </c>
      <c r="B880" s="89"/>
      <c r="C880" s="89">
        <v>88264</v>
      </c>
      <c r="D880" s="89"/>
      <c r="E880" s="90" t="s">
        <v>594</v>
      </c>
      <c r="F880" s="89" t="s">
        <v>29</v>
      </c>
      <c r="G880" s="91">
        <v>0.45</v>
      </c>
      <c r="H880" s="91">
        <f>H826</f>
        <v>24.73</v>
      </c>
      <c r="I880" s="117" t="s">
        <v>1193</v>
      </c>
      <c r="J880" s="91"/>
      <c r="K880" s="91">
        <f>ROUND(H880*G880,2)</f>
        <v>11.13</v>
      </c>
      <c r="L880" s="91"/>
      <c r="M880" s="91"/>
      <c r="N880" s="91"/>
      <c r="O880" s="91"/>
      <c r="P880" s="91"/>
      <c r="Q880" s="91"/>
      <c r="R880" s="25"/>
    </row>
    <row r="881" spans="1:18" x14ac:dyDescent="0.25">
      <c r="A881" s="134" t="s">
        <v>35</v>
      </c>
      <c r="B881" s="92"/>
      <c r="C881" s="92" t="s">
        <v>824</v>
      </c>
      <c r="D881" s="92"/>
      <c r="E881" s="93" t="s">
        <v>825</v>
      </c>
      <c r="F881" s="92" t="s">
        <v>39</v>
      </c>
      <c r="G881" s="94">
        <v>1.05</v>
      </c>
      <c r="H881" s="94">
        <v>97.64</v>
      </c>
      <c r="I881" s="116" t="s">
        <v>1193</v>
      </c>
      <c r="J881" s="94">
        <f>ROUND(H881*G881,2)</f>
        <v>102.52</v>
      </c>
      <c r="K881" s="94"/>
      <c r="L881" s="94"/>
      <c r="M881" s="94"/>
      <c r="N881" s="94"/>
      <c r="O881" s="94"/>
      <c r="P881" s="94"/>
      <c r="Q881" s="94"/>
      <c r="R881" s="25"/>
    </row>
    <row r="882" spans="1:18" x14ac:dyDescent="0.25">
      <c r="A882" s="133" t="s">
        <v>22</v>
      </c>
      <c r="B882" s="89"/>
      <c r="C882" s="89">
        <v>91171</v>
      </c>
      <c r="D882" s="89"/>
      <c r="E882" s="90" t="s">
        <v>802</v>
      </c>
      <c r="F882" s="89" t="s">
        <v>39</v>
      </c>
      <c r="G882" s="91">
        <v>1</v>
      </c>
      <c r="H882" s="91">
        <f>H846</f>
        <v>3.16</v>
      </c>
      <c r="I882" s="117" t="s">
        <v>1193</v>
      </c>
      <c r="J882" s="91">
        <f>ROUND(H882*G882,2)</f>
        <v>3.16</v>
      </c>
      <c r="K882" s="91"/>
      <c r="L882" s="91"/>
      <c r="M882" s="91"/>
      <c r="N882" s="91"/>
      <c r="O882" s="91"/>
      <c r="P882" s="91"/>
      <c r="Q882" s="91"/>
      <c r="R882" s="25"/>
    </row>
    <row r="883" spans="1:18" x14ac:dyDescent="0.25">
      <c r="A883" s="163"/>
      <c r="B883" s="101"/>
      <c r="C883" s="101"/>
      <c r="D883" s="101"/>
      <c r="E883" s="102"/>
      <c r="F883" s="101"/>
      <c r="G883" s="96"/>
      <c r="H883" s="96"/>
      <c r="I883" s="169" t="s">
        <v>1193</v>
      </c>
      <c r="J883" s="96"/>
      <c r="K883" s="96"/>
      <c r="L883" s="96"/>
      <c r="M883" s="96"/>
      <c r="N883" s="96"/>
      <c r="O883" s="96"/>
      <c r="P883" s="96"/>
      <c r="Q883" s="96"/>
      <c r="R883" s="25"/>
    </row>
    <row r="884" spans="1:18" s="25" customFormat="1" x14ac:dyDescent="0.25">
      <c r="A884" s="149" t="s">
        <v>22</v>
      </c>
      <c r="B884" s="148"/>
      <c r="C884" s="148">
        <v>91854</v>
      </c>
      <c r="D884" s="143" t="s">
        <v>826</v>
      </c>
      <c r="E884" s="144" t="s">
        <v>827</v>
      </c>
      <c r="F884" s="143" t="s">
        <v>39</v>
      </c>
      <c r="G884" s="146"/>
      <c r="H884" s="146"/>
      <c r="I884" s="146">
        <v>0.67</v>
      </c>
      <c r="J884" s="146">
        <f>SUM(J885:J887)</f>
        <v>2.39</v>
      </c>
      <c r="K884" s="146">
        <f>SUM(K885:K887)</f>
        <v>6.3100000000000005</v>
      </c>
      <c r="L884" s="146">
        <f>J884+K884</f>
        <v>8.7000000000000011</v>
      </c>
      <c r="M884" s="146">
        <f>I884*J884</f>
        <v>1.6013000000000002</v>
      </c>
      <c r="N884" s="146">
        <f>I884*K884</f>
        <v>4.2277000000000005</v>
      </c>
      <c r="O884" s="146">
        <f>M884+N884</f>
        <v>5.8290000000000006</v>
      </c>
      <c r="P884" s="146">
        <f>O884*$P$1</f>
        <v>1.4957214000000001</v>
      </c>
      <c r="Q884" s="146">
        <f>P884+O884</f>
        <v>7.3247214000000005</v>
      </c>
    </row>
    <row r="885" spans="1:18" x14ac:dyDescent="0.25">
      <c r="A885" s="134" t="s">
        <v>22</v>
      </c>
      <c r="B885" s="92"/>
      <c r="C885" s="92">
        <v>88247</v>
      </c>
      <c r="D885" s="92"/>
      <c r="E885" s="93" t="s">
        <v>599</v>
      </c>
      <c r="F885" s="92" t="s">
        <v>29</v>
      </c>
      <c r="G885" s="103">
        <v>0.14399999999999999</v>
      </c>
      <c r="H885" s="94">
        <f>H825</f>
        <v>19.100000000000001</v>
      </c>
      <c r="I885" s="116" t="s">
        <v>1193</v>
      </c>
      <c r="J885" s="94"/>
      <c r="K885" s="94">
        <f>ROUND(H885*G885,2)</f>
        <v>2.75</v>
      </c>
      <c r="L885" s="94"/>
      <c r="M885" s="94"/>
      <c r="N885" s="94"/>
      <c r="O885" s="94"/>
      <c r="P885" s="94"/>
      <c r="Q885" s="94"/>
      <c r="R885" s="25"/>
    </row>
    <row r="886" spans="1:18" x14ac:dyDescent="0.25">
      <c r="A886" s="133" t="s">
        <v>22</v>
      </c>
      <c r="B886" s="89"/>
      <c r="C886" s="89">
        <v>88264</v>
      </c>
      <c r="D886" s="89"/>
      <c r="E886" s="90" t="s">
        <v>594</v>
      </c>
      <c r="F886" s="89" t="s">
        <v>29</v>
      </c>
      <c r="G886" s="106">
        <v>0.14399999999999999</v>
      </c>
      <c r="H886" s="91">
        <f>H826</f>
        <v>24.73</v>
      </c>
      <c r="I886" s="117" t="s">
        <v>1193</v>
      </c>
      <c r="J886" s="91"/>
      <c r="K886" s="91">
        <f>ROUND(H886*G886,2)</f>
        <v>3.56</v>
      </c>
      <c r="L886" s="91"/>
      <c r="M886" s="91"/>
      <c r="N886" s="91"/>
      <c r="O886" s="91"/>
      <c r="P886" s="91"/>
      <c r="Q886" s="91"/>
      <c r="R886" s="25"/>
    </row>
    <row r="887" spans="1:18" x14ac:dyDescent="0.25">
      <c r="A887" s="134" t="s">
        <v>22</v>
      </c>
      <c r="B887" s="92"/>
      <c r="C887" s="92">
        <v>2688</v>
      </c>
      <c r="D887" s="92"/>
      <c r="E887" s="93" t="s">
        <v>828</v>
      </c>
      <c r="F887" s="92" t="s">
        <v>39</v>
      </c>
      <c r="G887" s="103">
        <v>1.0169999999999999</v>
      </c>
      <c r="H887" s="94">
        <v>2.35</v>
      </c>
      <c r="I887" s="116" t="s">
        <v>1193</v>
      </c>
      <c r="J887" s="94">
        <f>ROUND(H887*G887,2)</f>
        <v>2.39</v>
      </c>
      <c r="K887" s="94"/>
      <c r="L887" s="94"/>
      <c r="M887" s="94"/>
      <c r="N887" s="94"/>
      <c r="O887" s="94"/>
      <c r="P887" s="94"/>
      <c r="Q887" s="94"/>
      <c r="R887" s="25"/>
    </row>
    <row r="888" spans="1:18" x14ac:dyDescent="0.25">
      <c r="A888" s="159"/>
      <c r="B888" s="160"/>
      <c r="C888" s="160"/>
      <c r="D888" s="160"/>
      <c r="E888" s="161"/>
      <c r="F888" s="160"/>
      <c r="G888" s="162"/>
      <c r="H888" s="162"/>
      <c r="I888" s="170" t="s">
        <v>1193</v>
      </c>
      <c r="J888" s="162"/>
      <c r="K888" s="162"/>
      <c r="L888" s="162"/>
      <c r="M888" s="162"/>
      <c r="N888" s="162"/>
      <c r="O888" s="162"/>
      <c r="P888" s="162"/>
      <c r="Q888" s="162"/>
      <c r="R888" s="25"/>
    </row>
    <row r="889" spans="1:18" s="25" customFormat="1" x14ac:dyDescent="0.25">
      <c r="A889" s="149" t="s">
        <v>22</v>
      </c>
      <c r="B889" s="148"/>
      <c r="C889" s="148">
        <v>91856</v>
      </c>
      <c r="D889" s="143" t="s">
        <v>829</v>
      </c>
      <c r="E889" s="144" t="s">
        <v>830</v>
      </c>
      <c r="F889" s="143" t="s">
        <v>39</v>
      </c>
      <c r="G889" s="146"/>
      <c r="H889" s="146"/>
      <c r="I889" s="146">
        <v>0.67</v>
      </c>
      <c r="J889" s="146">
        <f>SUM(J890:J892)</f>
        <v>4.08</v>
      </c>
      <c r="K889" s="146">
        <f>SUM(K890:K892)</f>
        <v>7.1899999999999995</v>
      </c>
      <c r="L889" s="146">
        <f>J889+K889</f>
        <v>11.27</v>
      </c>
      <c r="M889" s="146">
        <f>I889*J889</f>
        <v>2.7336</v>
      </c>
      <c r="N889" s="146">
        <f>I889*K889</f>
        <v>4.8173000000000004</v>
      </c>
      <c r="O889" s="146">
        <f>M889+N889</f>
        <v>7.5509000000000004</v>
      </c>
      <c r="P889" s="146">
        <f>O889*$P$1</f>
        <v>1.93756094</v>
      </c>
      <c r="Q889" s="146">
        <f>P889+O889</f>
        <v>9.4884609399999995</v>
      </c>
    </row>
    <row r="890" spans="1:18" x14ac:dyDescent="0.25">
      <c r="A890" s="133" t="s">
        <v>22</v>
      </c>
      <c r="B890" s="89"/>
      <c r="C890" s="89">
        <v>88247</v>
      </c>
      <c r="D890" s="89"/>
      <c r="E890" s="90" t="s">
        <v>599</v>
      </c>
      <c r="F890" s="89" t="s">
        <v>29</v>
      </c>
      <c r="G890" s="106">
        <v>0.16400000000000001</v>
      </c>
      <c r="H890" s="91">
        <f>H825</f>
        <v>19.100000000000001</v>
      </c>
      <c r="I890" s="117" t="s">
        <v>1193</v>
      </c>
      <c r="J890" s="91"/>
      <c r="K890" s="91">
        <f>ROUND(H890*G890,2)</f>
        <v>3.13</v>
      </c>
      <c r="L890" s="91"/>
      <c r="M890" s="91"/>
      <c r="N890" s="91"/>
      <c r="O890" s="91"/>
      <c r="P890" s="91"/>
      <c r="Q890" s="91"/>
      <c r="R890" s="25"/>
    </row>
    <row r="891" spans="1:18" x14ac:dyDescent="0.25">
      <c r="A891" s="134" t="s">
        <v>22</v>
      </c>
      <c r="B891" s="92"/>
      <c r="C891" s="92">
        <v>88264</v>
      </c>
      <c r="D891" s="92"/>
      <c r="E891" s="93" t="s">
        <v>594</v>
      </c>
      <c r="F891" s="92" t="s">
        <v>29</v>
      </c>
      <c r="G891" s="103">
        <v>0.16400000000000001</v>
      </c>
      <c r="H891" s="94">
        <f>H826</f>
        <v>24.73</v>
      </c>
      <c r="I891" s="116" t="s">
        <v>1193</v>
      </c>
      <c r="J891" s="94"/>
      <c r="K891" s="94">
        <f>ROUND(H891*G891,2)</f>
        <v>4.0599999999999996</v>
      </c>
      <c r="L891" s="94"/>
      <c r="M891" s="94"/>
      <c r="N891" s="94"/>
      <c r="O891" s="94"/>
      <c r="P891" s="94"/>
      <c r="Q891" s="94"/>
      <c r="R891" s="25"/>
    </row>
    <row r="892" spans="1:18" x14ac:dyDescent="0.25">
      <c r="A892" s="133" t="s">
        <v>22</v>
      </c>
      <c r="B892" s="89"/>
      <c r="C892" s="89">
        <v>2690</v>
      </c>
      <c r="D892" s="89"/>
      <c r="E892" s="90" t="s">
        <v>831</v>
      </c>
      <c r="F892" s="89" t="s">
        <v>39</v>
      </c>
      <c r="G892" s="106">
        <v>1.0169999999999999</v>
      </c>
      <c r="H892" s="91">
        <v>4.01</v>
      </c>
      <c r="I892" s="117" t="s">
        <v>1193</v>
      </c>
      <c r="J892" s="91">
        <f>ROUND(H892*G892,2)</f>
        <v>4.08</v>
      </c>
      <c r="K892" s="91"/>
      <c r="L892" s="91"/>
      <c r="M892" s="91"/>
      <c r="N892" s="91"/>
      <c r="O892" s="91"/>
      <c r="P892" s="91"/>
      <c r="Q892" s="91"/>
      <c r="R892" s="25"/>
    </row>
    <row r="893" spans="1:18" x14ac:dyDescent="0.25">
      <c r="A893" s="163"/>
      <c r="B893" s="101"/>
      <c r="C893" s="101"/>
      <c r="D893" s="101"/>
      <c r="E893" s="102"/>
      <c r="F893" s="101"/>
      <c r="G893" s="96"/>
      <c r="H893" s="96"/>
      <c r="I893" s="169" t="s">
        <v>1193</v>
      </c>
      <c r="J893" s="96"/>
      <c r="K893" s="96"/>
      <c r="L893" s="96"/>
      <c r="M893" s="96"/>
      <c r="N893" s="96"/>
      <c r="O893" s="96"/>
      <c r="P893" s="96"/>
      <c r="Q893" s="96"/>
      <c r="R893" s="25"/>
    </row>
    <row r="894" spans="1:18" s="25" customFormat="1" ht="30" x14ac:dyDescent="0.25">
      <c r="A894" s="149" t="s">
        <v>22</v>
      </c>
      <c r="B894" s="148"/>
      <c r="C894" s="148">
        <v>95777</v>
      </c>
      <c r="D894" s="143" t="s">
        <v>832</v>
      </c>
      <c r="E894" s="144" t="s">
        <v>833</v>
      </c>
      <c r="F894" s="143" t="s">
        <v>39</v>
      </c>
      <c r="G894" s="146"/>
      <c r="H894" s="146"/>
      <c r="I894" s="146">
        <v>0.67</v>
      </c>
      <c r="J894" s="146">
        <f>SUM(J895:J898)</f>
        <v>11.809999999999999</v>
      </c>
      <c r="K894" s="146">
        <f>SUM(K895:K898)</f>
        <v>15.05</v>
      </c>
      <c r="L894" s="146">
        <f>J894+K894</f>
        <v>26.86</v>
      </c>
      <c r="M894" s="146">
        <f>I894*J894</f>
        <v>7.9126999999999992</v>
      </c>
      <c r="N894" s="146">
        <f>I894*K894</f>
        <v>10.083500000000001</v>
      </c>
      <c r="O894" s="146">
        <f>M894+N894</f>
        <v>17.996200000000002</v>
      </c>
      <c r="P894" s="146">
        <f>O894*$P$1</f>
        <v>4.6178249200000003</v>
      </c>
      <c r="Q894" s="146">
        <f>P894+O894</f>
        <v>22.614024920000002</v>
      </c>
    </row>
    <row r="895" spans="1:18" x14ac:dyDescent="0.25">
      <c r="A895" s="134" t="s">
        <v>22</v>
      </c>
      <c r="B895" s="92"/>
      <c r="C895" s="92">
        <v>88247</v>
      </c>
      <c r="D895" s="92"/>
      <c r="E895" s="93" t="s">
        <v>599</v>
      </c>
      <c r="F895" s="92" t="s">
        <v>29</v>
      </c>
      <c r="G895" s="108">
        <v>0.34339999999999998</v>
      </c>
      <c r="H895" s="94">
        <f>H825</f>
        <v>19.100000000000001</v>
      </c>
      <c r="I895" s="116" t="s">
        <v>1193</v>
      </c>
      <c r="J895" s="94"/>
      <c r="K895" s="94">
        <f>ROUND(H895*G895,2)</f>
        <v>6.56</v>
      </c>
      <c r="L895" s="94"/>
      <c r="M895" s="94"/>
      <c r="N895" s="94"/>
      <c r="O895" s="94"/>
      <c r="P895" s="94"/>
      <c r="Q895" s="94"/>
      <c r="R895" s="25"/>
    </row>
    <row r="896" spans="1:18" x14ac:dyDescent="0.25">
      <c r="A896" s="133" t="s">
        <v>22</v>
      </c>
      <c r="B896" s="89"/>
      <c r="C896" s="89">
        <v>88264</v>
      </c>
      <c r="D896" s="89"/>
      <c r="E896" s="90" t="s">
        <v>594</v>
      </c>
      <c r="F896" s="89" t="s">
        <v>29</v>
      </c>
      <c r="G896" s="109">
        <v>0.34339999999999998</v>
      </c>
      <c r="H896" s="91">
        <f>H826</f>
        <v>24.73</v>
      </c>
      <c r="I896" s="117" t="s">
        <v>1193</v>
      </c>
      <c r="J896" s="91"/>
      <c r="K896" s="91">
        <f>ROUND(H896*G896,2)</f>
        <v>8.49</v>
      </c>
      <c r="L896" s="91"/>
      <c r="M896" s="91"/>
      <c r="N896" s="91"/>
      <c r="O896" s="91"/>
      <c r="P896" s="91"/>
      <c r="Q896" s="91"/>
      <c r="R896" s="25"/>
    </row>
    <row r="897" spans="1:18" ht="30" x14ac:dyDescent="0.25">
      <c r="A897" s="134" t="s">
        <v>22</v>
      </c>
      <c r="B897" s="92"/>
      <c r="C897" s="92">
        <v>11950</v>
      </c>
      <c r="D897" s="92"/>
      <c r="E897" s="95" t="s">
        <v>834</v>
      </c>
      <c r="F897" s="92" t="s">
        <v>1215</v>
      </c>
      <c r="G897" s="94">
        <v>2</v>
      </c>
      <c r="H897" s="94">
        <v>0.39</v>
      </c>
      <c r="I897" s="116" t="s">
        <v>1193</v>
      </c>
      <c r="J897" s="94">
        <f>ROUND(H897*G897,2)</f>
        <v>0.78</v>
      </c>
      <c r="K897" s="94"/>
      <c r="L897" s="94"/>
      <c r="M897" s="94"/>
      <c r="N897" s="94"/>
      <c r="O897" s="94"/>
      <c r="P897" s="94"/>
      <c r="Q897" s="94"/>
      <c r="R897" s="25"/>
    </row>
    <row r="898" spans="1:18" x14ac:dyDescent="0.25">
      <c r="A898" s="133" t="s">
        <v>22</v>
      </c>
      <c r="B898" s="89"/>
      <c r="C898" s="89">
        <v>14053</v>
      </c>
      <c r="D898" s="89"/>
      <c r="E898" s="90" t="s">
        <v>835</v>
      </c>
      <c r="F898" s="89" t="s">
        <v>1215</v>
      </c>
      <c r="G898" s="91">
        <v>1</v>
      </c>
      <c r="H898" s="91">
        <v>11.03</v>
      </c>
      <c r="I898" s="117" t="s">
        <v>1193</v>
      </c>
      <c r="J898" s="91">
        <f>ROUND(H898*G898,2)</f>
        <v>11.03</v>
      </c>
      <c r="K898" s="91"/>
      <c r="L898" s="91"/>
      <c r="M898" s="91"/>
      <c r="N898" s="91"/>
      <c r="O898" s="91"/>
      <c r="P898" s="91"/>
      <c r="Q898" s="91"/>
      <c r="R898" s="25"/>
    </row>
    <row r="899" spans="1:18" x14ac:dyDescent="0.25">
      <c r="A899" s="163"/>
      <c r="B899" s="101"/>
      <c r="C899" s="101"/>
      <c r="D899" s="101"/>
      <c r="E899" s="102"/>
      <c r="F899" s="101"/>
      <c r="G899" s="96"/>
      <c r="H899" s="96"/>
      <c r="I899" s="169" t="s">
        <v>1193</v>
      </c>
      <c r="J899" s="96"/>
      <c r="K899" s="96"/>
      <c r="L899" s="96"/>
      <c r="M899" s="96"/>
      <c r="N899" s="96"/>
      <c r="O899" s="96"/>
      <c r="P899" s="96"/>
      <c r="Q899" s="96"/>
      <c r="R899" s="25"/>
    </row>
    <row r="900" spans="1:18" s="25" customFormat="1" ht="30" x14ac:dyDescent="0.25">
      <c r="A900" s="149" t="s">
        <v>22</v>
      </c>
      <c r="B900" s="148"/>
      <c r="C900" s="148">
        <v>95781</v>
      </c>
      <c r="D900" s="143" t="s">
        <v>836</v>
      </c>
      <c r="E900" s="144" t="s">
        <v>837</v>
      </c>
      <c r="F900" s="143" t="s">
        <v>39</v>
      </c>
      <c r="G900" s="146"/>
      <c r="H900" s="146"/>
      <c r="I900" s="146">
        <v>0.67</v>
      </c>
      <c r="J900" s="146">
        <f>SUM(J901:J904)</f>
        <v>15.399999999999999</v>
      </c>
      <c r="K900" s="146">
        <f>SUM(K901:K904)</f>
        <v>15.65</v>
      </c>
      <c r="L900" s="146">
        <f>J900+K900</f>
        <v>31.049999999999997</v>
      </c>
      <c r="M900" s="146">
        <f>I900*J900</f>
        <v>10.318</v>
      </c>
      <c r="N900" s="146">
        <f>I900*K900</f>
        <v>10.4855</v>
      </c>
      <c r="O900" s="146">
        <f>M900+N900</f>
        <v>20.8035</v>
      </c>
      <c r="P900" s="146">
        <f>O900*$P$1</f>
        <v>5.3381780999999995</v>
      </c>
      <c r="Q900" s="146">
        <f>P900+O900</f>
        <v>26.1416781</v>
      </c>
    </row>
    <row r="901" spans="1:18" x14ac:dyDescent="0.25">
      <c r="A901" s="134" t="s">
        <v>22</v>
      </c>
      <c r="B901" s="92"/>
      <c r="C901" s="92">
        <v>88247</v>
      </c>
      <c r="D901" s="92"/>
      <c r="E901" s="93" t="s">
        <v>599</v>
      </c>
      <c r="F901" s="92" t="s">
        <v>29</v>
      </c>
      <c r="G901" s="103">
        <v>0.35699999999999998</v>
      </c>
      <c r="H901" s="94">
        <f>H825</f>
        <v>19.100000000000001</v>
      </c>
      <c r="I901" s="116" t="s">
        <v>1193</v>
      </c>
      <c r="J901" s="94"/>
      <c r="K901" s="94">
        <f>ROUND(H901*G901,2)</f>
        <v>6.82</v>
      </c>
      <c r="L901" s="94"/>
      <c r="M901" s="94"/>
      <c r="N901" s="94"/>
      <c r="O901" s="94"/>
      <c r="P901" s="94"/>
      <c r="Q901" s="94"/>
      <c r="R901" s="25"/>
    </row>
    <row r="902" spans="1:18" x14ac:dyDescent="0.25">
      <c r="A902" s="133" t="s">
        <v>22</v>
      </c>
      <c r="B902" s="89"/>
      <c r="C902" s="89">
        <v>88264</v>
      </c>
      <c r="D902" s="89"/>
      <c r="E902" s="90" t="s">
        <v>594</v>
      </c>
      <c r="F902" s="89" t="s">
        <v>29</v>
      </c>
      <c r="G902" s="106">
        <v>0.35699999999999998</v>
      </c>
      <c r="H902" s="91">
        <f>H826</f>
        <v>24.73</v>
      </c>
      <c r="I902" s="117" t="s">
        <v>1193</v>
      </c>
      <c r="J902" s="91"/>
      <c r="K902" s="91">
        <f>ROUND(H902*G902,2)</f>
        <v>8.83</v>
      </c>
      <c r="L902" s="91"/>
      <c r="M902" s="91"/>
      <c r="N902" s="91"/>
      <c r="O902" s="91"/>
      <c r="P902" s="91"/>
      <c r="Q902" s="91"/>
      <c r="R902" s="25"/>
    </row>
    <row r="903" spans="1:18" ht="30" x14ac:dyDescent="0.25">
      <c r="A903" s="134" t="s">
        <v>22</v>
      </c>
      <c r="B903" s="92"/>
      <c r="C903" s="92">
        <v>11950</v>
      </c>
      <c r="D903" s="92"/>
      <c r="E903" s="95" t="s">
        <v>834</v>
      </c>
      <c r="F903" s="92" t="s">
        <v>1215</v>
      </c>
      <c r="G903" s="94">
        <v>2</v>
      </c>
      <c r="H903" s="94">
        <v>0.39</v>
      </c>
      <c r="I903" s="116" t="s">
        <v>1193</v>
      </c>
      <c r="J903" s="94">
        <f>ROUND(H903*G903,2)</f>
        <v>0.78</v>
      </c>
      <c r="K903" s="94"/>
      <c r="L903" s="94"/>
      <c r="M903" s="94"/>
      <c r="N903" s="94"/>
      <c r="O903" s="94"/>
      <c r="P903" s="94"/>
      <c r="Q903" s="94"/>
      <c r="R903" s="25"/>
    </row>
    <row r="904" spans="1:18" x14ac:dyDescent="0.25">
      <c r="A904" s="133" t="s">
        <v>22</v>
      </c>
      <c r="B904" s="89"/>
      <c r="C904" s="89">
        <v>2560</v>
      </c>
      <c r="D904" s="89"/>
      <c r="E904" s="90" t="s">
        <v>838</v>
      </c>
      <c r="F904" s="89" t="s">
        <v>39</v>
      </c>
      <c r="G904" s="91">
        <v>1</v>
      </c>
      <c r="H904" s="91">
        <v>14.62</v>
      </c>
      <c r="I904" s="117" t="s">
        <v>1193</v>
      </c>
      <c r="J904" s="91">
        <f>ROUND(H904*G904,2)</f>
        <v>14.62</v>
      </c>
      <c r="K904" s="91"/>
      <c r="L904" s="91"/>
      <c r="M904" s="91"/>
      <c r="N904" s="91"/>
      <c r="O904" s="91"/>
      <c r="P904" s="91"/>
      <c r="Q904" s="91"/>
      <c r="R904" s="25"/>
    </row>
    <row r="905" spans="1:18" x14ac:dyDescent="0.25">
      <c r="A905" s="163"/>
      <c r="B905" s="101"/>
      <c r="C905" s="101"/>
      <c r="D905" s="101"/>
      <c r="E905" s="102"/>
      <c r="F905" s="101"/>
      <c r="G905" s="96"/>
      <c r="H905" s="96"/>
      <c r="I905" s="169" t="s">
        <v>1193</v>
      </c>
      <c r="J905" s="96"/>
      <c r="K905" s="96"/>
      <c r="L905" s="96"/>
      <c r="M905" s="96"/>
      <c r="N905" s="96"/>
      <c r="O905" s="96"/>
      <c r="P905" s="96"/>
      <c r="Q905" s="96"/>
      <c r="R905" s="25"/>
    </row>
    <row r="906" spans="1:18" s="25" customFormat="1" ht="30" x14ac:dyDescent="0.25">
      <c r="A906" s="149" t="s">
        <v>22</v>
      </c>
      <c r="B906" s="148"/>
      <c r="C906" s="148">
        <v>95785</v>
      </c>
      <c r="D906" s="143" t="s">
        <v>839</v>
      </c>
      <c r="E906" s="144" t="s">
        <v>840</v>
      </c>
      <c r="F906" s="143" t="s">
        <v>39</v>
      </c>
      <c r="G906" s="146"/>
      <c r="H906" s="146"/>
      <c r="I906" s="146">
        <v>0.67</v>
      </c>
      <c r="J906" s="146">
        <f>SUM(J907:J910)</f>
        <v>24.59</v>
      </c>
      <c r="K906" s="146">
        <f>SUM(K907:K910)</f>
        <v>16.490000000000002</v>
      </c>
      <c r="L906" s="146">
        <f>J906+K906</f>
        <v>41.08</v>
      </c>
      <c r="M906" s="146">
        <f>I906*J906</f>
        <v>16.475300000000001</v>
      </c>
      <c r="N906" s="146">
        <f>I906*K906</f>
        <v>11.048300000000001</v>
      </c>
      <c r="O906" s="146">
        <f>M906+N906</f>
        <v>27.523600000000002</v>
      </c>
      <c r="P906" s="146">
        <f>O906*$P$1</f>
        <v>7.0625557600000004</v>
      </c>
      <c r="Q906" s="146">
        <f>P906+O906</f>
        <v>34.586155760000004</v>
      </c>
    </row>
    <row r="907" spans="1:18" x14ac:dyDescent="0.25">
      <c r="A907" s="134" t="s">
        <v>22</v>
      </c>
      <c r="B907" s="92"/>
      <c r="C907" s="92">
        <v>88247</v>
      </c>
      <c r="D907" s="92"/>
      <c r="E907" s="93" t="s">
        <v>599</v>
      </c>
      <c r="F907" s="92" t="s">
        <v>29</v>
      </c>
      <c r="G907" s="108">
        <v>0.37619999999999998</v>
      </c>
      <c r="H907" s="94">
        <f>H825</f>
        <v>19.100000000000001</v>
      </c>
      <c r="I907" s="116" t="s">
        <v>1193</v>
      </c>
      <c r="J907" s="94"/>
      <c r="K907" s="94">
        <f>ROUND(H907*G907,2)</f>
        <v>7.19</v>
      </c>
      <c r="L907" s="94"/>
      <c r="M907" s="94"/>
      <c r="N907" s="94"/>
      <c r="O907" s="94"/>
      <c r="P907" s="94"/>
      <c r="Q907" s="94"/>
      <c r="R907" s="25"/>
    </row>
    <row r="908" spans="1:18" x14ac:dyDescent="0.25">
      <c r="A908" s="133" t="s">
        <v>22</v>
      </c>
      <c r="B908" s="89"/>
      <c r="C908" s="89">
        <v>88264</v>
      </c>
      <c r="D908" s="89"/>
      <c r="E908" s="90" t="s">
        <v>594</v>
      </c>
      <c r="F908" s="89" t="s">
        <v>29</v>
      </c>
      <c r="G908" s="109">
        <v>0.37619999999999998</v>
      </c>
      <c r="H908" s="91">
        <f>H826</f>
        <v>24.73</v>
      </c>
      <c r="I908" s="117" t="s">
        <v>1193</v>
      </c>
      <c r="J908" s="91"/>
      <c r="K908" s="91">
        <f>ROUND(H908*G908,2)</f>
        <v>9.3000000000000007</v>
      </c>
      <c r="L908" s="91"/>
      <c r="M908" s="91"/>
      <c r="N908" s="91"/>
      <c r="O908" s="91"/>
      <c r="P908" s="91"/>
      <c r="Q908" s="91"/>
      <c r="R908" s="25"/>
    </row>
    <row r="909" spans="1:18" ht="30" x14ac:dyDescent="0.25">
      <c r="A909" s="134" t="s">
        <v>22</v>
      </c>
      <c r="B909" s="92"/>
      <c r="C909" s="92">
        <v>11950</v>
      </c>
      <c r="D909" s="92"/>
      <c r="E909" s="95" t="s">
        <v>834</v>
      </c>
      <c r="F909" s="92" t="s">
        <v>1215</v>
      </c>
      <c r="G909" s="94">
        <v>2</v>
      </c>
      <c r="H909" s="94">
        <v>0.39</v>
      </c>
      <c r="I909" s="116" t="s">
        <v>1193</v>
      </c>
      <c r="J909" s="94">
        <f>ROUND(H909*G909,2)</f>
        <v>0.78</v>
      </c>
      <c r="K909" s="94"/>
      <c r="L909" s="94"/>
      <c r="M909" s="94"/>
      <c r="N909" s="94"/>
      <c r="O909" s="94"/>
      <c r="P909" s="94"/>
      <c r="Q909" s="94"/>
      <c r="R909" s="25"/>
    </row>
    <row r="910" spans="1:18" x14ac:dyDescent="0.25">
      <c r="A910" s="133" t="s">
        <v>22</v>
      </c>
      <c r="B910" s="89"/>
      <c r="C910" s="89">
        <v>2588</v>
      </c>
      <c r="D910" s="89"/>
      <c r="E910" s="90" t="s">
        <v>841</v>
      </c>
      <c r="F910" s="89" t="s">
        <v>1215</v>
      </c>
      <c r="G910" s="91">
        <v>1</v>
      </c>
      <c r="H910" s="91">
        <v>23.81</v>
      </c>
      <c r="I910" s="117" t="s">
        <v>1193</v>
      </c>
      <c r="J910" s="91">
        <f>ROUND(H910*G910,2)</f>
        <v>23.81</v>
      </c>
      <c r="K910" s="91"/>
      <c r="L910" s="91"/>
      <c r="M910" s="91"/>
      <c r="N910" s="91"/>
      <c r="O910" s="91"/>
      <c r="P910" s="91"/>
      <c r="Q910" s="91"/>
      <c r="R910" s="25"/>
    </row>
    <row r="911" spans="1:18" x14ac:dyDescent="0.25">
      <c r="A911" s="163"/>
      <c r="B911" s="101"/>
      <c r="C911" s="101"/>
      <c r="D911" s="101"/>
      <c r="E911" s="102"/>
      <c r="F911" s="101"/>
      <c r="G911" s="96"/>
      <c r="H911" s="96"/>
      <c r="I911" s="169" t="s">
        <v>1193</v>
      </c>
      <c r="J911" s="96"/>
      <c r="K911" s="96"/>
      <c r="L911" s="96"/>
      <c r="M911" s="96"/>
      <c r="N911" s="96"/>
      <c r="O911" s="96"/>
      <c r="P911" s="96"/>
      <c r="Q911" s="96"/>
      <c r="R911" s="25"/>
    </row>
    <row r="912" spans="1:18" s="25" customFormat="1" ht="30" x14ac:dyDescent="0.25">
      <c r="A912" s="149"/>
      <c r="B912" s="148"/>
      <c r="C912" s="148"/>
      <c r="D912" s="143" t="s">
        <v>842</v>
      </c>
      <c r="E912" s="144" t="s">
        <v>843</v>
      </c>
      <c r="F912" s="143" t="s">
        <v>39</v>
      </c>
      <c r="G912" s="146"/>
      <c r="H912" s="146"/>
      <c r="I912" s="146">
        <v>0.67</v>
      </c>
      <c r="J912" s="146">
        <f>SUM(J913:J916)</f>
        <v>30.76</v>
      </c>
      <c r="K912" s="146">
        <f>SUM(K913:K916)</f>
        <v>17.53</v>
      </c>
      <c r="L912" s="146">
        <f>J912+K912</f>
        <v>48.290000000000006</v>
      </c>
      <c r="M912" s="146">
        <f>I912*J912</f>
        <v>20.609200000000001</v>
      </c>
      <c r="N912" s="146">
        <f>I912*K912</f>
        <v>11.745100000000001</v>
      </c>
      <c r="O912" s="146">
        <f>M912+N912</f>
        <v>32.354300000000002</v>
      </c>
      <c r="P912" s="146">
        <f>O912*$P$1</f>
        <v>8.3021133799999998</v>
      </c>
      <c r="Q912" s="146">
        <f>P912+O912</f>
        <v>40.656413380000004</v>
      </c>
    </row>
    <row r="913" spans="1:18" x14ac:dyDescent="0.25">
      <c r="A913" s="134" t="s">
        <v>22</v>
      </c>
      <c r="B913" s="92"/>
      <c r="C913" s="92">
        <v>88247</v>
      </c>
      <c r="D913" s="92"/>
      <c r="E913" s="93" t="s">
        <v>599</v>
      </c>
      <c r="F913" s="92" t="s">
        <v>29</v>
      </c>
      <c r="G913" s="94">
        <v>0.4</v>
      </c>
      <c r="H913" s="94">
        <f>H825</f>
        <v>19.100000000000001</v>
      </c>
      <c r="I913" s="116" t="s">
        <v>1193</v>
      </c>
      <c r="J913" s="94"/>
      <c r="K913" s="94">
        <f>ROUND(H913*G913,2)</f>
        <v>7.64</v>
      </c>
      <c r="L913" s="94"/>
      <c r="M913" s="94"/>
      <c r="N913" s="94"/>
      <c r="O913" s="94"/>
      <c r="P913" s="94"/>
      <c r="Q913" s="94"/>
      <c r="R913" s="25"/>
    </row>
    <row r="914" spans="1:18" x14ac:dyDescent="0.25">
      <c r="A914" s="133" t="s">
        <v>22</v>
      </c>
      <c r="B914" s="89"/>
      <c r="C914" s="89">
        <v>88264</v>
      </c>
      <c r="D914" s="89"/>
      <c r="E914" s="90" t="s">
        <v>594</v>
      </c>
      <c r="F914" s="89" t="s">
        <v>29</v>
      </c>
      <c r="G914" s="91">
        <v>0.4</v>
      </c>
      <c r="H914" s="91">
        <f>H826</f>
        <v>24.73</v>
      </c>
      <c r="I914" s="117" t="s">
        <v>1193</v>
      </c>
      <c r="J914" s="91"/>
      <c r="K914" s="91">
        <f>ROUND(H914*G914,2)</f>
        <v>9.89</v>
      </c>
      <c r="L914" s="91"/>
      <c r="M914" s="91"/>
      <c r="N914" s="91"/>
      <c r="O914" s="91"/>
      <c r="P914" s="91"/>
      <c r="Q914" s="91"/>
      <c r="R914" s="25"/>
    </row>
    <row r="915" spans="1:18" ht="30" x14ac:dyDescent="0.25">
      <c r="A915" s="134" t="s">
        <v>22</v>
      </c>
      <c r="B915" s="92"/>
      <c r="C915" s="92">
        <v>11950</v>
      </c>
      <c r="D915" s="92"/>
      <c r="E915" s="95" t="s">
        <v>834</v>
      </c>
      <c r="F915" s="92" t="s">
        <v>1215</v>
      </c>
      <c r="G915" s="94">
        <v>2</v>
      </c>
      <c r="H915" s="94">
        <v>0.39</v>
      </c>
      <c r="I915" s="116" t="s">
        <v>1193</v>
      </c>
      <c r="J915" s="94">
        <f>ROUND(H915*G915,2)</f>
        <v>0.78</v>
      </c>
      <c r="K915" s="94"/>
      <c r="L915" s="94"/>
      <c r="M915" s="94"/>
      <c r="N915" s="94"/>
      <c r="O915" s="94"/>
      <c r="P915" s="94"/>
      <c r="Q915" s="94"/>
      <c r="R915" s="25"/>
    </row>
    <row r="916" spans="1:18" x14ac:dyDescent="0.25">
      <c r="A916" s="133" t="s">
        <v>22</v>
      </c>
      <c r="B916" s="89"/>
      <c r="C916" s="89">
        <v>2587</v>
      </c>
      <c r="D916" s="89"/>
      <c r="E916" s="90" t="s">
        <v>844</v>
      </c>
      <c r="F916" s="89" t="s">
        <v>39</v>
      </c>
      <c r="G916" s="91">
        <v>1</v>
      </c>
      <c r="H916" s="91">
        <v>29.98</v>
      </c>
      <c r="I916" s="117" t="s">
        <v>1193</v>
      </c>
      <c r="J916" s="91">
        <f>ROUND(H916*G916,2)</f>
        <v>29.98</v>
      </c>
      <c r="K916" s="91"/>
      <c r="L916" s="91"/>
      <c r="M916" s="91"/>
      <c r="N916" s="91"/>
      <c r="O916" s="91"/>
      <c r="P916" s="91"/>
      <c r="Q916" s="91"/>
      <c r="R916" s="25"/>
    </row>
    <row r="917" spans="1:18" x14ac:dyDescent="0.25">
      <c r="A917" s="163"/>
      <c r="B917" s="101"/>
      <c r="C917" s="101"/>
      <c r="D917" s="101"/>
      <c r="E917" s="102"/>
      <c r="F917" s="101"/>
      <c r="G917" s="96"/>
      <c r="H917" s="96"/>
      <c r="I917" s="169" t="s">
        <v>1193</v>
      </c>
      <c r="J917" s="96"/>
      <c r="K917" s="96"/>
      <c r="L917" s="96"/>
      <c r="M917" s="96"/>
      <c r="N917" s="96"/>
      <c r="O917" s="96"/>
      <c r="P917" s="96"/>
      <c r="Q917" s="96"/>
      <c r="R917" s="25"/>
    </row>
    <row r="918" spans="1:18" s="25" customFormat="1" ht="30" x14ac:dyDescent="0.25">
      <c r="A918" s="149"/>
      <c r="B918" s="148"/>
      <c r="C918" s="148"/>
      <c r="D918" s="143" t="s">
        <v>845</v>
      </c>
      <c r="E918" s="144" t="s">
        <v>846</v>
      </c>
      <c r="F918" s="143" t="s">
        <v>39</v>
      </c>
      <c r="G918" s="146"/>
      <c r="H918" s="146"/>
      <c r="I918" s="146">
        <v>0.67</v>
      </c>
      <c r="J918" s="146">
        <f>SUM(J919:J922)</f>
        <v>46.43</v>
      </c>
      <c r="K918" s="146">
        <f>SUM(K919:K922)</f>
        <v>19.73</v>
      </c>
      <c r="L918" s="146">
        <f>J918+K918</f>
        <v>66.16</v>
      </c>
      <c r="M918" s="146">
        <f>I918*J918</f>
        <v>31.1081</v>
      </c>
      <c r="N918" s="146">
        <f>I918*K918</f>
        <v>13.219100000000001</v>
      </c>
      <c r="O918" s="146">
        <f>M918+N918</f>
        <v>44.327200000000005</v>
      </c>
      <c r="P918" s="146">
        <f>O918*$P$1</f>
        <v>11.374359520000001</v>
      </c>
      <c r="Q918" s="146">
        <f>P918+O918</f>
        <v>55.701559520000004</v>
      </c>
    </row>
    <row r="919" spans="1:18" x14ac:dyDescent="0.25">
      <c r="A919" s="134" t="s">
        <v>22</v>
      </c>
      <c r="B919" s="92"/>
      <c r="C919" s="92">
        <v>88247</v>
      </c>
      <c r="D919" s="92"/>
      <c r="E919" s="93" t="s">
        <v>599</v>
      </c>
      <c r="F919" s="92" t="s">
        <v>29</v>
      </c>
      <c r="G919" s="94">
        <v>0.45</v>
      </c>
      <c r="H919" s="94">
        <f>H825</f>
        <v>19.100000000000001</v>
      </c>
      <c r="I919" s="116" t="s">
        <v>1193</v>
      </c>
      <c r="J919" s="94"/>
      <c r="K919" s="94">
        <f>ROUND(H919*G919,2)</f>
        <v>8.6</v>
      </c>
      <c r="L919" s="94"/>
      <c r="M919" s="94"/>
      <c r="N919" s="94"/>
      <c r="O919" s="94"/>
      <c r="P919" s="94"/>
      <c r="Q919" s="94"/>
      <c r="R919" s="25"/>
    </row>
    <row r="920" spans="1:18" x14ac:dyDescent="0.25">
      <c r="A920" s="133" t="s">
        <v>22</v>
      </c>
      <c r="B920" s="89"/>
      <c r="C920" s="89">
        <v>88264</v>
      </c>
      <c r="D920" s="89"/>
      <c r="E920" s="90" t="s">
        <v>594</v>
      </c>
      <c r="F920" s="89" t="s">
        <v>29</v>
      </c>
      <c r="G920" s="91">
        <v>0.45</v>
      </c>
      <c r="H920" s="91">
        <f>H826</f>
        <v>24.73</v>
      </c>
      <c r="I920" s="117" t="s">
        <v>1193</v>
      </c>
      <c r="J920" s="91"/>
      <c r="K920" s="91">
        <f>ROUND(H920*G920,2)</f>
        <v>11.13</v>
      </c>
      <c r="L920" s="91"/>
      <c r="M920" s="91"/>
      <c r="N920" s="91"/>
      <c r="O920" s="91"/>
      <c r="P920" s="91"/>
      <c r="Q920" s="91"/>
      <c r="R920" s="25"/>
    </row>
    <row r="921" spans="1:18" ht="30" x14ac:dyDescent="0.25">
      <c r="A921" s="134" t="s">
        <v>22</v>
      </c>
      <c r="B921" s="92"/>
      <c r="C921" s="92">
        <v>11950</v>
      </c>
      <c r="D921" s="92"/>
      <c r="E921" s="95" t="s">
        <v>834</v>
      </c>
      <c r="F921" s="92" t="s">
        <v>1215</v>
      </c>
      <c r="G921" s="94">
        <v>2</v>
      </c>
      <c r="H921" s="94">
        <v>0.39</v>
      </c>
      <c r="I921" s="116" t="s">
        <v>1193</v>
      </c>
      <c r="J921" s="94">
        <f>ROUND(H921*G921,2)</f>
        <v>0.78</v>
      </c>
      <c r="K921" s="94"/>
      <c r="L921" s="94"/>
      <c r="M921" s="94"/>
      <c r="N921" s="94"/>
      <c r="O921" s="94"/>
      <c r="P921" s="94"/>
      <c r="Q921" s="94"/>
      <c r="R921" s="25"/>
    </row>
    <row r="922" spans="1:18" x14ac:dyDescent="0.25">
      <c r="A922" s="133" t="s">
        <v>22</v>
      </c>
      <c r="B922" s="89"/>
      <c r="C922" s="89">
        <v>2571</v>
      </c>
      <c r="D922" s="89"/>
      <c r="E922" s="90" t="s">
        <v>847</v>
      </c>
      <c r="F922" s="89" t="s">
        <v>39</v>
      </c>
      <c r="G922" s="91">
        <v>1</v>
      </c>
      <c r="H922" s="91">
        <v>45.65</v>
      </c>
      <c r="I922" s="117" t="s">
        <v>1193</v>
      </c>
      <c r="J922" s="91">
        <f>ROUND(H922*G922,2)</f>
        <v>45.65</v>
      </c>
      <c r="K922" s="91"/>
      <c r="L922" s="91"/>
      <c r="M922" s="91"/>
      <c r="N922" s="91"/>
      <c r="O922" s="91"/>
      <c r="P922" s="91"/>
      <c r="Q922" s="91"/>
      <c r="R922" s="25"/>
    </row>
    <row r="923" spans="1:18" x14ac:dyDescent="0.25">
      <c r="A923" s="163"/>
      <c r="B923" s="101"/>
      <c r="C923" s="101"/>
      <c r="D923" s="101"/>
      <c r="E923" s="102"/>
      <c r="F923" s="101"/>
      <c r="G923" s="96"/>
      <c r="H923" s="96"/>
      <c r="I923" s="169" t="s">
        <v>1193</v>
      </c>
      <c r="J923" s="96"/>
      <c r="K923" s="96"/>
      <c r="L923" s="96"/>
      <c r="M923" s="96"/>
      <c r="N923" s="96"/>
      <c r="O923" s="96"/>
      <c r="P923" s="96"/>
      <c r="Q923" s="96"/>
      <c r="R923" s="25"/>
    </row>
    <row r="924" spans="1:18" s="25" customFormat="1" ht="94.9" customHeight="1" x14ac:dyDescent="0.25">
      <c r="A924" s="149"/>
      <c r="B924" s="148"/>
      <c r="C924" s="148"/>
      <c r="D924" s="143" t="s">
        <v>848</v>
      </c>
      <c r="E924" s="144" t="s">
        <v>849</v>
      </c>
      <c r="F924" s="143" t="s">
        <v>39</v>
      </c>
      <c r="G924" s="146"/>
      <c r="H924" s="146"/>
      <c r="I924" s="146">
        <v>0.67</v>
      </c>
      <c r="J924" s="146">
        <f>SUM(J925:J928)</f>
        <v>78.550000000000011</v>
      </c>
      <c r="K924" s="146">
        <f>SUM(K925:K928)</f>
        <v>19.73</v>
      </c>
      <c r="L924" s="146">
        <f>J924+K924</f>
        <v>98.280000000000015</v>
      </c>
      <c r="M924" s="146">
        <f>I924*J924</f>
        <v>52.62850000000001</v>
      </c>
      <c r="N924" s="146">
        <f>I924*K924</f>
        <v>13.219100000000001</v>
      </c>
      <c r="O924" s="146">
        <f>M924+N924</f>
        <v>65.847600000000014</v>
      </c>
      <c r="P924" s="146">
        <f>O924*$P$1</f>
        <v>16.896494160000003</v>
      </c>
      <c r="Q924" s="146">
        <f>P924+O924</f>
        <v>82.744094160000017</v>
      </c>
    </row>
    <row r="925" spans="1:18" x14ac:dyDescent="0.25">
      <c r="A925" s="134" t="s">
        <v>22</v>
      </c>
      <c r="B925" s="92"/>
      <c r="C925" s="92">
        <v>88247</v>
      </c>
      <c r="D925" s="92"/>
      <c r="E925" s="93" t="s">
        <v>599</v>
      </c>
      <c r="F925" s="92" t="s">
        <v>29</v>
      </c>
      <c r="G925" s="94">
        <v>0.45</v>
      </c>
      <c r="H925" s="94">
        <f>H825</f>
        <v>19.100000000000001</v>
      </c>
      <c r="I925" s="116" t="s">
        <v>1193</v>
      </c>
      <c r="J925" s="94"/>
      <c r="K925" s="94">
        <f>ROUND(H925*G925,2)</f>
        <v>8.6</v>
      </c>
      <c r="L925" s="94"/>
      <c r="M925" s="94"/>
      <c r="N925" s="94"/>
      <c r="O925" s="94"/>
      <c r="P925" s="94"/>
      <c r="Q925" s="94"/>
      <c r="R925" s="25"/>
    </row>
    <row r="926" spans="1:18" x14ac:dyDescent="0.25">
      <c r="A926" s="133" t="s">
        <v>22</v>
      </c>
      <c r="B926" s="89"/>
      <c r="C926" s="89">
        <v>88264</v>
      </c>
      <c r="D926" s="89"/>
      <c r="E926" s="90" t="s">
        <v>594</v>
      </c>
      <c r="F926" s="89" t="s">
        <v>29</v>
      </c>
      <c r="G926" s="91">
        <v>0.45</v>
      </c>
      <c r="H926" s="91">
        <f>H826</f>
        <v>24.73</v>
      </c>
      <c r="I926" s="117" t="s">
        <v>1193</v>
      </c>
      <c r="J926" s="91"/>
      <c r="K926" s="91">
        <f>ROUND(H926*G926,2)</f>
        <v>11.13</v>
      </c>
      <c r="L926" s="91"/>
      <c r="M926" s="91"/>
      <c r="N926" s="91"/>
      <c r="O926" s="91"/>
      <c r="P926" s="91"/>
      <c r="Q926" s="91"/>
      <c r="R926" s="25"/>
    </row>
    <row r="927" spans="1:18" x14ac:dyDescent="0.25">
      <c r="A927" s="134" t="s">
        <v>35</v>
      </c>
      <c r="B927" s="92"/>
      <c r="C927" s="119" t="s">
        <v>850</v>
      </c>
      <c r="D927" s="92"/>
      <c r="E927" s="93" t="s">
        <v>851</v>
      </c>
      <c r="F927" s="92" t="s">
        <v>39</v>
      </c>
      <c r="G927" s="94">
        <v>1</v>
      </c>
      <c r="H927" s="94">
        <v>32.029999999999994</v>
      </c>
      <c r="I927" s="116" t="s">
        <v>1193</v>
      </c>
      <c r="J927" s="94">
        <f>ROUND(H927*G927,2)</f>
        <v>32.03</v>
      </c>
      <c r="K927" s="94"/>
      <c r="L927" s="94"/>
      <c r="M927" s="94"/>
      <c r="N927" s="94"/>
      <c r="O927" s="94"/>
      <c r="P927" s="94"/>
      <c r="Q927" s="94"/>
      <c r="R927" s="25"/>
    </row>
    <row r="928" spans="1:18" ht="30" x14ac:dyDescent="0.25">
      <c r="A928" s="133" t="s">
        <v>35</v>
      </c>
      <c r="B928" s="89"/>
      <c r="C928" s="120" t="s">
        <v>850</v>
      </c>
      <c r="D928" s="89"/>
      <c r="E928" s="100" t="s">
        <v>852</v>
      </c>
      <c r="F928" s="89" t="s">
        <v>39</v>
      </c>
      <c r="G928" s="91">
        <v>1</v>
      </c>
      <c r="H928" s="91">
        <v>46.52</v>
      </c>
      <c r="I928" s="117" t="s">
        <v>1193</v>
      </c>
      <c r="J928" s="91">
        <f>ROUND(H928*G928,2)</f>
        <v>46.52</v>
      </c>
      <c r="K928" s="91"/>
      <c r="L928" s="91"/>
      <c r="M928" s="91"/>
      <c r="N928" s="91"/>
      <c r="O928" s="91"/>
      <c r="P928" s="91"/>
      <c r="Q928" s="91"/>
      <c r="R928" s="25"/>
    </row>
    <row r="929" spans="1:18" x14ac:dyDescent="0.25">
      <c r="A929" s="163"/>
      <c r="B929" s="101"/>
      <c r="C929" s="101"/>
      <c r="D929" s="101"/>
      <c r="E929" s="102"/>
      <c r="F929" s="101"/>
      <c r="G929" s="96"/>
      <c r="H929" s="96"/>
      <c r="I929" s="169" t="s">
        <v>1193</v>
      </c>
      <c r="J929" s="96"/>
      <c r="K929" s="96"/>
      <c r="L929" s="96"/>
      <c r="M929" s="96"/>
      <c r="N929" s="96"/>
      <c r="O929" s="96"/>
      <c r="P929" s="96"/>
      <c r="Q929" s="96"/>
      <c r="R929" s="25"/>
    </row>
    <row r="930" spans="1:18" s="25" customFormat="1" ht="89.45" customHeight="1" x14ac:dyDescent="0.25">
      <c r="A930" s="149"/>
      <c r="B930" s="148"/>
      <c r="C930" s="148"/>
      <c r="D930" s="143" t="s">
        <v>853</v>
      </c>
      <c r="E930" s="144" t="s">
        <v>854</v>
      </c>
      <c r="F930" s="143" t="s">
        <v>39</v>
      </c>
      <c r="G930" s="146"/>
      <c r="H930" s="146"/>
      <c r="I930" s="146">
        <v>0.67</v>
      </c>
      <c r="J930" s="146">
        <f>SUM(J931:J934)</f>
        <v>170.26</v>
      </c>
      <c r="K930" s="146">
        <f>SUM(K931:K934)</f>
        <v>26.3</v>
      </c>
      <c r="L930" s="146">
        <f>J930+K930</f>
        <v>196.56</v>
      </c>
      <c r="M930" s="146">
        <f>I930*J930</f>
        <v>114.0742</v>
      </c>
      <c r="N930" s="146">
        <f>I930*K930</f>
        <v>17.621000000000002</v>
      </c>
      <c r="O930" s="146">
        <f>M930+N930</f>
        <v>131.6952</v>
      </c>
      <c r="P930" s="146">
        <f>O930*$P$1</f>
        <v>33.792988319999999</v>
      </c>
      <c r="Q930" s="146">
        <f>P930+O930</f>
        <v>165.48818832000001</v>
      </c>
    </row>
    <row r="931" spans="1:18" x14ac:dyDescent="0.25">
      <c r="A931" s="134" t="s">
        <v>22</v>
      </c>
      <c r="B931" s="92"/>
      <c r="C931" s="92">
        <v>88247</v>
      </c>
      <c r="D931" s="92"/>
      <c r="E931" s="93" t="s">
        <v>599</v>
      </c>
      <c r="F931" s="92" t="s">
        <v>29</v>
      </c>
      <c r="G931" s="94">
        <v>0.6</v>
      </c>
      <c r="H931" s="94">
        <f>H825</f>
        <v>19.100000000000001</v>
      </c>
      <c r="I931" s="116" t="s">
        <v>1193</v>
      </c>
      <c r="J931" s="94"/>
      <c r="K931" s="94">
        <f>ROUND(G931*H931,2)</f>
        <v>11.46</v>
      </c>
      <c r="L931" s="94"/>
      <c r="M931" s="94"/>
      <c r="N931" s="94"/>
      <c r="O931" s="94"/>
      <c r="P931" s="94"/>
      <c r="Q931" s="94"/>
      <c r="R931" s="25"/>
    </row>
    <row r="932" spans="1:18" x14ac:dyDescent="0.25">
      <c r="A932" s="133" t="s">
        <v>22</v>
      </c>
      <c r="B932" s="89"/>
      <c r="C932" s="89">
        <v>88264</v>
      </c>
      <c r="D932" s="89"/>
      <c r="E932" s="90" t="s">
        <v>594</v>
      </c>
      <c r="F932" s="89" t="s">
        <v>29</v>
      </c>
      <c r="G932" s="91">
        <v>0.6</v>
      </c>
      <c r="H932" s="91">
        <f>H826</f>
        <v>24.73</v>
      </c>
      <c r="I932" s="117" t="s">
        <v>1193</v>
      </c>
      <c r="J932" s="91"/>
      <c r="K932" s="91">
        <f>ROUND(G932*H932,2)</f>
        <v>14.84</v>
      </c>
      <c r="L932" s="91"/>
      <c r="M932" s="91"/>
      <c r="N932" s="91"/>
      <c r="O932" s="91"/>
      <c r="P932" s="91"/>
      <c r="Q932" s="91"/>
      <c r="R932" s="25"/>
    </row>
    <row r="933" spans="1:18" x14ac:dyDescent="0.25">
      <c r="A933" s="134" t="s">
        <v>35</v>
      </c>
      <c r="B933" s="92"/>
      <c r="C933" s="92" t="s">
        <v>855</v>
      </c>
      <c r="D933" s="92"/>
      <c r="E933" s="93" t="s">
        <v>851</v>
      </c>
      <c r="F933" s="92" t="s">
        <v>39</v>
      </c>
      <c r="G933" s="94">
        <v>1</v>
      </c>
      <c r="H933" s="94">
        <v>24.909999999999997</v>
      </c>
      <c r="I933" s="116" t="s">
        <v>1193</v>
      </c>
      <c r="J933" s="94">
        <f>ROUND(H933*G933,2)</f>
        <v>24.91</v>
      </c>
      <c r="K933" s="94"/>
      <c r="L933" s="94"/>
      <c r="M933" s="94"/>
      <c r="N933" s="94"/>
      <c r="O933" s="94"/>
      <c r="P933" s="94"/>
      <c r="Q933" s="94"/>
      <c r="R933" s="25"/>
    </row>
    <row r="934" spans="1:18" ht="30" x14ac:dyDescent="0.25">
      <c r="A934" s="133" t="s">
        <v>35</v>
      </c>
      <c r="B934" s="89"/>
      <c r="C934" s="120" t="s">
        <v>855</v>
      </c>
      <c r="D934" s="89"/>
      <c r="E934" s="100" t="s">
        <v>856</v>
      </c>
      <c r="F934" s="89" t="s">
        <v>39</v>
      </c>
      <c r="G934" s="91">
        <v>1</v>
      </c>
      <c r="H934" s="91">
        <f>170.26-H933</f>
        <v>145.35</v>
      </c>
      <c r="I934" s="117" t="s">
        <v>1193</v>
      </c>
      <c r="J934" s="91">
        <f>ROUND(H934*G934,2)</f>
        <v>145.35</v>
      </c>
      <c r="K934" s="91"/>
      <c r="L934" s="91"/>
      <c r="M934" s="91"/>
      <c r="N934" s="91"/>
      <c r="O934" s="91"/>
      <c r="P934" s="91"/>
      <c r="Q934" s="91"/>
      <c r="R934" s="25"/>
    </row>
    <row r="935" spans="1:18" x14ac:dyDescent="0.25">
      <c r="A935" s="163"/>
      <c r="B935" s="101"/>
      <c r="C935" s="101"/>
      <c r="D935" s="101"/>
      <c r="E935" s="102"/>
      <c r="F935" s="101"/>
      <c r="G935" s="96"/>
      <c r="H935" s="96"/>
      <c r="I935" s="169" t="s">
        <v>1193</v>
      </c>
      <c r="J935" s="96"/>
      <c r="K935" s="96"/>
      <c r="L935" s="96"/>
      <c r="M935" s="96"/>
      <c r="N935" s="96"/>
      <c r="O935" s="96"/>
      <c r="P935" s="96"/>
      <c r="Q935" s="96"/>
      <c r="R935" s="25"/>
    </row>
    <row r="936" spans="1:18" s="25" customFormat="1" ht="89.45" customHeight="1" x14ac:dyDescent="0.25">
      <c r="A936" s="149"/>
      <c r="B936" s="148"/>
      <c r="C936" s="148"/>
      <c r="D936" s="143" t="s">
        <v>857</v>
      </c>
      <c r="E936" s="144" t="s">
        <v>858</v>
      </c>
      <c r="F936" s="143" t="s">
        <v>39</v>
      </c>
      <c r="G936" s="146"/>
      <c r="H936" s="146"/>
      <c r="I936" s="146">
        <v>0.67</v>
      </c>
      <c r="J936" s="146">
        <f>SUM(J937:J940)</f>
        <v>217.29000000000002</v>
      </c>
      <c r="K936" s="146">
        <f>SUM(K937:K940)</f>
        <v>28.93</v>
      </c>
      <c r="L936" s="146">
        <f>J936+K936</f>
        <v>246.22000000000003</v>
      </c>
      <c r="M936" s="146">
        <f>I936*J936</f>
        <v>145.58430000000001</v>
      </c>
      <c r="N936" s="146">
        <f>I936*K936</f>
        <v>19.383100000000002</v>
      </c>
      <c r="O936" s="146">
        <f>M936+N936</f>
        <v>164.96740000000003</v>
      </c>
      <c r="P936" s="146">
        <f>O936*$P$1</f>
        <v>42.330634840000009</v>
      </c>
      <c r="Q936" s="146">
        <f>P936+O936</f>
        <v>207.29803484000004</v>
      </c>
    </row>
    <row r="937" spans="1:18" x14ac:dyDescent="0.25">
      <c r="A937" s="134" t="s">
        <v>22</v>
      </c>
      <c r="B937" s="92"/>
      <c r="C937" s="92">
        <v>88247</v>
      </c>
      <c r="D937" s="92"/>
      <c r="E937" s="93" t="s">
        <v>599</v>
      </c>
      <c r="F937" s="92" t="s">
        <v>29</v>
      </c>
      <c r="G937" s="94">
        <v>0.66</v>
      </c>
      <c r="H937" s="94">
        <f>H825</f>
        <v>19.100000000000001</v>
      </c>
      <c r="I937" s="116" t="s">
        <v>1193</v>
      </c>
      <c r="J937" s="94"/>
      <c r="K937" s="94">
        <f>ROUND(G937*H937,2)</f>
        <v>12.61</v>
      </c>
      <c r="L937" s="94"/>
      <c r="M937" s="94"/>
      <c r="N937" s="94"/>
      <c r="O937" s="94"/>
      <c r="P937" s="94"/>
      <c r="Q937" s="94"/>
      <c r="R937" s="25"/>
    </row>
    <row r="938" spans="1:18" x14ac:dyDescent="0.25">
      <c r="A938" s="133" t="s">
        <v>22</v>
      </c>
      <c r="B938" s="89"/>
      <c r="C938" s="89">
        <v>88264</v>
      </c>
      <c r="D938" s="89"/>
      <c r="E938" s="90" t="s">
        <v>594</v>
      </c>
      <c r="F938" s="89" t="s">
        <v>29</v>
      </c>
      <c r="G938" s="91">
        <v>0.66</v>
      </c>
      <c r="H938" s="91">
        <f>H826</f>
        <v>24.73</v>
      </c>
      <c r="I938" s="117" t="s">
        <v>1193</v>
      </c>
      <c r="J938" s="91"/>
      <c r="K938" s="91">
        <f>ROUND(G938*H938,2)</f>
        <v>16.32</v>
      </c>
      <c r="L938" s="91"/>
      <c r="M938" s="91"/>
      <c r="N938" s="91"/>
      <c r="O938" s="91"/>
      <c r="P938" s="91"/>
      <c r="Q938" s="91"/>
      <c r="R938" s="25"/>
    </row>
    <row r="939" spans="1:18" x14ac:dyDescent="0.25">
      <c r="A939" s="134" t="s">
        <v>35</v>
      </c>
      <c r="B939" s="92"/>
      <c r="C939" s="119" t="s">
        <v>859</v>
      </c>
      <c r="D939" s="92"/>
      <c r="E939" s="93" t="s">
        <v>860</v>
      </c>
      <c r="F939" s="92" t="s">
        <v>39</v>
      </c>
      <c r="G939" s="94">
        <v>1</v>
      </c>
      <c r="H939" s="94">
        <v>33.610000000000014</v>
      </c>
      <c r="I939" s="116" t="s">
        <v>1193</v>
      </c>
      <c r="J939" s="94">
        <f>ROUND(H939*G939,2)</f>
        <v>33.61</v>
      </c>
      <c r="K939" s="94"/>
      <c r="L939" s="94"/>
      <c r="M939" s="94"/>
      <c r="N939" s="94"/>
      <c r="O939" s="94"/>
      <c r="P939" s="94"/>
      <c r="Q939" s="94"/>
      <c r="R939" s="25"/>
    </row>
    <row r="940" spans="1:18" ht="30" x14ac:dyDescent="0.25">
      <c r="A940" s="133" t="s">
        <v>35</v>
      </c>
      <c r="B940" s="89"/>
      <c r="C940" s="120" t="s">
        <v>859</v>
      </c>
      <c r="D940" s="89"/>
      <c r="E940" s="100" t="s">
        <v>861</v>
      </c>
      <c r="F940" s="89" t="s">
        <v>39</v>
      </c>
      <c r="G940" s="91">
        <v>1</v>
      </c>
      <c r="H940" s="91">
        <f>217.29-H939</f>
        <v>183.67999999999998</v>
      </c>
      <c r="I940" s="117" t="s">
        <v>1193</v>
      </c>
      <c r="J940" s="91">
        <f>ROUND(H940*G940,2)</f>
        <v>183.68</v>
      </c>
      <c r="K940" s="91"/>
      <c r="L940" s="91"/>
      <c r="M940" s="91"/>
      <c r="N940" s="91"/>
      <c r="O940" s="91"/>
      <c r="P940" s="91"/>
      <c r="Q940" s="91"/>
      <c r="R940" s="25"/>
    </row>
    <row r="941" spans="1:18" x14ac:dyDescent="0.25">
      <c r="A941" s="163"/>
      <c r="B941" s="101"/>
      <c r="C941" s="101"/>
      <c r="D941" s="101"/>
      <c r="E941" s="102"/>
      <c r="F941" s="101"/>
      <c r="G941" s="96"/>
      <c r="H941" s="96"/>
      <c r="I941" s="169" t="s">
        <v>1193</v>
      </c>
      <c r="J941" s="96"/>
      <c r="K941" s="96"/>
      <c r="L941" s="96"/>
      <c r="M941" s="96"/>
      <c r="N941" s="96"/>
      <c r="O941" s="96"/>
      <c r="P941" s="96"/>
      <c r="Q941" s="96"/>
      <c r="R941" s="25"/>
    </row>
    <row r="942" spans="1:18" s="25" customFormat="1" ht="87" customHeight="1" x14ac:dyDescent="0.25">
      <c r="A942" s="149"/>
      <c r="B942" s="148"/>
      <c r="C942" s="148"/>
      <c r="D942" s="143" t="s">
        <v>862</v>
      </c>
      <c r="E942" s="144" t="s">
        <v>863</v>
      </c>
      <c r="F942" s="143" t="s">
        <v>39</v>
      </c>
      <c r="G942" s="146"/>
      <c r="H942" s="146"/>
      <c r="I942" s="146">
        <v>0.67</v>
      </c>
      <c r="J942" s="146">
        <f>SUM(J943:J946)</f>
        <v>34.42</v>
      </c>
      <c r="K942" s="146">
        <f>SUM(K943:K946)</f>
        <v>19.73</v>
      </c>
      <c r="L942" s="146">
        <f>J942+K942</f>
        <v>54.150000000000006</v>
      </c>
      <c r="M942" s="146">
        <f>I942*J942</f>
        <v>23.061400000000003</v>
      </c>
      <c r="N942" s="146">
        <f>I942*K942</f>
        <v>13.219100000000001</v>
      </c>
      <c r="O942" s="146">
        <f>M942+N942</f>
        <v>36.280500000000004</v>
      </c>
      <c r="P942" s="146">
        <f>O942*$P$1</f>
        <v>9.3095763000000016</v>
      </c>
      <c r="Q942" s="146">
        <f>P942+O942</f>
        <v>45.590076300000007</v>
      </c>
    </row>
    <row r="943" spans="1:18" x14ac:dyDescent="0.25">
      <c r="A943" s="134" t="s">
        <v>22</v>
      </c>
      <c r="B943" s="92"/>
      <c r="C943" s="92">
        <v>88247</v>
      </c>
      <c r="D943" s="92"/>
      <c r="E943" s="93" t="s">
        <v>599</v>
      </c>
      <c r="F943" s="92" t="s">
        <v>29</v>
      </c>
      <c r="G943" s="94">
        <v>0.45</v>
      </c>
      <c r="H943" s="94">
        <f>H825</f>
        <v>19.100000000000001</v>
      </c>
      <c r="I943" s="116" t="s">
        <v>1193</v>
      </c>
      <c r="J943" s="94"/>
      <c r="K943" s="94">
        <f>ROUND(G943*H943,2)</f>
        <v>8.6</v>
      </c>
      <c r="L943" s="94"/>
      <c r="M943" s="94"/>
      <c r="N943" s="94"/>
      <c r="O943" s="94"/>
      <c r="P943" s="94"/>
      <c r="Q943" s="94"/>
      <c r="R943" s="25"/>
    </row>
    <row r="944" spans="1:18" x14ac:dyDescent="0.25">
      <c r="A944" s="133" t="s">
        <v>22</v>
      </c>
      <c r="B944" s="89"/>
      <c r="C944" s="89">
        <v>88264</v>
      </c>
      <c r="D944" s="89"/>
      <c r="E944" s="90" t="s">
        <v>594</v>
      </c>
      <c r="F944" s="89" t="s">
        <v>29</v>
      </c>
      <c r="G944" s="91">
        <v>0.45</v>
      </c>
      <c r="H944" s="91">
        <f>H826</f>
        <v>24.73</v>
      </c>
      <c r="I944" s="117" t="s">
        <v>1193</v>
      </c>
      <c r="J944" s="91"/>
      <c r="K944" s="91">
        <f>ROUND(G944*H944,2)</f>
        <v>11.13</v>
      </c>
      <c r="L944" s="91"/>
      <c r="M944" s="91"/>
      <c r="N944" s="91"/>
      <c r="O944" s="91"/>
      <c r="P944" s="91"/>
      <c r="Q944" s="91"/>
      <c r="R944" s="25"/>
    </row>
    <row r="945" spans="1:18" x14ac:dyDescent="0.25">
      <c r="A945" s="134" t="s">
        <v>35</v>
      </c>
      <c r="B945" s="92"/>
      <c r="C945" s="119" t="s">
        <v>864</v>
      </c>
      <c r="D945" s="92"/>
      <c r="E945" s="93" t="s">
        <v>860</v>
      </c>
      <c r="F945" s="92" t="s">
        <v>39</v>
      </c>
      <c r="G945" s="94">
        <v>1</v>
      </c>
      <c r="H945" s="94">
        <v>16.740000000000002</v>
      </c>
      <c r="I945" s="116" t="s">
        <v>1193</v>
      </c>
      <c r="J945" s="94">
        <f>ROUND(H945*G945,2)</f>
        <v>16.739999999999998</v>
      </c>
      <c r="K945" s="94"/>
      <c r="L945" s="94"/>
      <c r="M945" s="94"/>
      <c r="N945" s="94"/>
      <c r="O945" s="94"/>
      <c r="P945" s="94"/>
      <c r="Q945" s="94"/>
      <c r="R945" s="25"/>
    </row>
    <row r="946" spans="1:18" x14ac:dyDescent="0.25">
      <c r="A946" s="133" t="s">
        <v>35</v>
      </c>
      <c r="B946" s="89"/>
      <c r="C946" s="120" t="s">
        <v>864</v>
      </c>
      <c r="D946" s="89"/>
      <c r="E946" s="90" t="s">
        <v>865</v>
      </c>
      <c r="F946" s="89" t="s">
        <v>39</v>
      </c>
      <c r="G946" s="91">
        <v>1</v>
      </c>
      <c r="H946" s="91">
        <v>17.68</v>
      </c>
      <c r="I946" s="117" t="s">
        <v>1193</v>
      </c>
      <c r="J946" s="91">
        <f>ROUND(H946*G946,2)</f>
        <v>17.68</v>
      </c>
      <c r="K946" s="91"/>
      <c r="L946" s="91"/>
      <c r="M946" s="91"/>
      <c r="N946" s="91"/>
      <c r="O946" s="91"/>
      <c r="P946" s="91"/>
      <c r="Q946" s="91"/>
      <c r="R946" s="25"/>
    </row>
    <row r="947" spans="1:18" x14ac:dyDescent="0.25">
      <c r="A947" s="163"/>
      <c r="B947" s="101"/>
      <c r="C947" s="101"/>
      <c r="D947" s="101"/>
      <c r="E947" s="102"/>
      <c r="F947" s="101"/>
      <c r="G947" s="96"/>
      <c r="H947" s="96"/>
      <c r="I947" s="169" t="s">
        <v>1193</v>
      </c>
      <c r="J947" s="96"/>
      <c r="K947" s="96"/>
      <c r="L947" s="96"/>
      <c r="M947" s="96"/>
      <c r="N947" s="96"/>
      <c r="O947" s="96"/>
      <c r="P947" s="96"/>
      <c r="Q947" s="96"/>
      <c r="R947" s="25"/>
    </row>
    <row r="948" spans="1:18" ht="15.75" x14ac:dyDescent="0.25">
      <c r="A948" s="138"/>
      <c r="B948" s="121"/>
      <c r="C948" s="121"/>
      <c r="D948" s="122"/>
      <c r="E948" s="123" t="s">
        <v>866</v>
      </c>
      <c r="F948" s="122"/>
      <c r="G948" s="124"/>
      <c r="H948" s="125"/>
      <c r="I948" s="124" t="s">
        <v>1193</v>
      </c>
      <c r="J948" s="124"/>
      <c r="K948" s="124"/>
      <c r="L948" s="124"/>
      <c r="M948" s="124"/>
      <c r="N948" s="124"/>
      <c r="O948" s="124"/>
      <c r="P948" s="125"/>
      <c r="Q948" s="125"/>
      <c r="R948" s="25"/>
    </row>
    <row r="949" spans="1:18" s="25" customFormat="1" ht="30" x14ac:dyDescent="0.25">
      <c r="A949" s="149"/>
      <c r="B949" s="148"/>
      <c r="C949" s="148"/>
      <c r="D949" s="143" t="s">
        <v>867</v>
      </c>
      <c r="E949" s="144" t="s">
        <v>868</v>
      </c>
      <c r="F949" s="143" t="s">
        <v>1215</v>
      </c>
      <c r="G949" s="146"/>
      <c r="H949" s="146"/>
      <c r="I949" s="146">
        <v>1</v>
      </c>
      <c r="J949" s="146">
        <f>SUM(J950:J952)</f>
        <v>5.16</v>
      </c>
      <c r="K949" s="146">
        <f>SUM(K950:K952)</f>
        <v>7.8900000000000006</v>
      </c>
      <c r="L949" s="146">
        <f>J949+K949</f>
        <v>13.05</v>
      </c>
      <c r="M949" s="146">
        <f>I949*J949</f>
        <v>5.16</v>
      </c>
      <c r="N949" s="146">
        <f>I949*K949</f>
        <v>7.8900000000000006</v>
      </c>
      <c r="O949" s="146">
        <f>M949+N949</f>
        <v>13.05</v>
      </c>
      <c r="P949" s="146">
        <f>O949*$P$1</f>
        <v>3.34863</v>
      </c>
      <c r="Q949" s="146">
        <f>P949+O949</f>
        <v>16.398630000000001</v>
      </c>
    </row>
    <row r="950" spans="1:18" x14ac:dyDescent="0.25">
      <c r="A950" s="133" t="s">
        <v>22</v>
      </c>
      <c r="B950" s="89"/>
      <c r="C950" s="89">
        <v>88247</v>
      </c>
      <c r="D950" s="89"/>
      <c r="E950" s="90" t="s">
        <v>599</v>
      </c>
      <c r="F950" s="89" t="s">
        <v>29</v>
      </c>
      <c r="G950" s="91">
        <v>0.18</v>
      </c>
      <c r="H950" s="91">
        <f>H825</f>
        <v>19.100000000000001</v>
      </c>
      <c r="I950" s="117" t="s">
        <v>1193</v>
      </c>
      <c r="J950" s="91"/>
      <c r="K950" s="91">
        <f>ROUND(G950*H950,2)</f>
        <v>3.44</v>
      </c>
      <c r="L950" s="91"/>
      <c r="M950" s="91"/>
      <c r="N950" s="91"/>
      <c r="O950" s="91"/>
      <c r="P950" s="91"/>
      <c r="Q950" s="91"/>
      <c r="R950" s="25"/>
    </row>
    <row r="951" spans="1:18" x14ac:dyDescent="0.25">
      <c r="A951" s="134" t="s">
        <v>22</v>
      </c>
      <c r="B951" s="92"/>
      <c r="C951" s="92">
        <v>88264</v>
      </c>
      <c r="D951" s="92"/>
      <c r="E951" s="93" t="s">
        <v>594</v>
      </c>
      <c r="F951" s="92" t="s">
        <v>29</v>
      </c>
      <c r="G951" s="94">
        <v>0.18</v>
      </c>
      <c r="H951" s="94">
        <f>H826</f>
        <v>24.73</v>
      </c>
      <c r="I951" s="116" t="s">
        <v>1193</v>
      </c>
      <c r="J951" s="94"/>
      <c r="K951" s="94">
        <f>ROUND(G951*H951,2)</f>
        <v>4.45</v>
      </c>
      <c r="L951" s="94"/>
      <c r="M951" s="94"/>
      <c r="N951" s="94"/>
      <c r="O951" s="94"/>
      <c r="P951" s="94"/>
      <c r="Q951" s="94"/>
      <c r="R951" s="25"/>
    </row>
    <row r="952" spans="1:18" x14ac:dyDescent="0.25">
      <c r="A952" s="133" t="s">
        <v>35</v>
      </c>
      <c r="B952" s="89"/>
      <c r="C952" s="89" t="s">
        <v>869</v>
      </c>
      <c r="D952" s="89"/>
      <c r="E952" s="90" t="s">
        <v>870</v>
      </c>
      <c r="F952" s="89" t="s">
        <v>39</v>
      </c>
      <c r="G952" s="91">
        <v>1.1499999999999999</v>
      </c>
      <c r="H952" s="91">
        <v>4.49</v>
      </c>
      <c r="I952" s="117" t="s">
        <v>1193</v>
      </c>
      <c r="J952" s="91">
        <f>ROUND(H952*G952,2)</f>
        <v>5.16</v>
      </c>
      <c r="K952" s="91"/>
      <c r="L952" s="91"/>
      <c r="M952" s="91"/>
      <c r="N952" s="91"/>
      <c r="O952" s="91"/>
      <c r="P952" s="91"/>
      <c r="Q952" s="91"/>
      <c r="R952" s="25"/>
    </row>
    <row r="953" spans="1:18" x14ac:dyDescent="0.25">
      <c r="A953" s="163"/>
      <c r="B953" s="101"/>
      <c r="C953" s="101"/>
      <c r="D953" s="101"/>
      <c r="E953" s="102"/>
      <c r="F953" s="101"/>
      <c r="G953" s="96"/>
      <c r="H953" s="96"/>
      <c r="I953" s="169" t="s">
        <v>1193</v>
      </c>
      <c r="J953" s="96"/>
      <c r="K953" s="96"/>
      <c r="L953" s="96"/>
      <c r="M953" s="96"/>
      <c r="N953" s="96"/>
      <c r="O953" s="96"/>
      <c r="P953" s="96"/>
      <c r="Q953" s="96"/>
      <c r="R953" s="25"/>
    </row>
    <row r="954" spans="1:18" s="25" customFormat="1" ht="30" x14ac:dyDescent="0.25">
      <c r="A954" s="149"/>
      <c r="B954" s="148"/>
      <c r="C954" s="148"/>
      <c r="D954" s="143" t="s">
        <v>871</v>
      </c>
      <c r="E954" s="144" t="s">
        <v>872</v>
      </c>
      <c r="F954" s="143" t="s">
        <v>1215</v>
      </c>
      <c r="G954" s="146"/>
      <c r="H954" s="146"/>
      <c r="I954" s="146">
        <v>1</v>
      </c>
      <c r="J954" s="146">
        <f>SUM(J955:J957)</f>
        <v>35.799999999999997</v>
      </c>
      <c r="K954" s="146">
        <f>SUM(K955:K957)</f>
        <v>7.8900000000000006</v>
      </c>
      <c r="L954" s="146">
        <f>J954+K954</f>
        <v>43.69</v>
      </c>
      <c r="M954" s="146">
        <f>I954*J954</f>
        <v>35.799999999999997</v>
      </c>
      <c r="N954" s="146">
        <f>I954*K954</f>
        <v>7.8900000000000006</v>
      </c>
      <c r="O954" s="146">
        <f>M954+N954</f>
        <v>43.69</v>
      </c>
      <c r="P954" s="146">
        <f>O954*$P$1</f>
        <v>11.210853999999999</v>
      </c>
      <c r="Q954" s="146">
        <f>P954+O954</f>
        <v>54.900853999999995</v>
      </c>
    </row>
    <row r="955" spans="1:18" x14ac:dyDescent="0.25">
      <c r="A955" s="134" t="s">
        <v>22</v>
      </c>
      <c r="B955" s="92"/>
      <c r="C955" s="92">
        <v>88247</v>
      </c>
      <c r="D955" s="92"/>
      <c r="E955" s="93" t="s">
        <v>599</v>
      </c>
      <c r="F955" s="92" t="s">
        <v>29</v>
      </c>
      <c r="G955" s="94">
        <v>0.18</v>
      </c>
      <c r="H955" s="94">
        <f>H825</f>
        <v>19.100000000000001</v>
      </c>
      <c r="I955" s="116" t="s">
        <v>1193</v>
      </c>
      <c r="J955" s="94"/>
      <c r="K955" s="94">
        <f>ROUND(G955*H955,2)</f>
        <v>3.44</v>
      </c>
      <c r="L955" s="94"/>
      <c r="M955" s="94"/>
      <c r="N955" s="94"/>
      <c r="O955" s="94"/>
      <c r="P955" s="94"/>
      <c r="Q955" s="94"/>
      <c r="R955" s="25"/>
    </row>
    <row r="956" spans="1:18" x14ac:dyDescent="0.25">
      <c r="A956" s="133" t="s">
        <v>22</v>
      </c>
      <c r="B956" s="89"/>
      <c r="C956" s="89">
        <v>88264</v>
      </c>
      <c r="D956" s="89"/>
      <c r="E956" s="90" t="s">
        <v>594</v>
      </c>
      <c r="F956" s="89" t="s">
        <v>29</v>
      </c>
      <c r="G956" s="91">
        <v>0.18</v>
      </c>
      <c r="H956" s="91">
        <f>H826</f>
        <v>24.73</v>
      </c>
      <c r="I956" s="117" t="s">
        <v>1193</v>
      </c>
      <c r="J956" s="91"/>
      <c r="K956" s="91">
        <f>ROUND(G956*H956,2)</f>
        <v>4.45</v>
      </c>
      <c r="L956" s="91"/>
      <c r="M956" s="91"/>
      <c r="N956" s="91"/>
      <c r="O956" s="91"/>
      <c r="P956" s="91"/>
      <c r="Q956" s="91"/>
      <c r="R956" s="25"/>
    </row>
    <row r="957" spans="1:18" x14ac:dyDescent="0.25">
      <c r="A957" s="134" t="s">
        <v>35</v>
      </c>
      <c r="B957" s="92"/>
      <c r="C957" s="119" t="s">
        <v>873</v>
      </c>
      <c r="D957" s="92"/>
      <c r="E957" s="93" t="s">
        <v>874</v>
      </c>
      <c r="F957" s="92" t="s">
        <v>39</v>
      </c>
      <c r="G957" s="94">
        <v>1.1499999999999999</v>
      </c>
      <c r="H957" s="94">
        <v>31.13</v>
      </c>
      <c r="I957" s="116" t="s">
        <v>1193</v>
      </c>
      <c r="J957" s="94">
        <f>ROUND(H957*G957,2)</f>
        <v>35.799999999999997</v>
      </c>
      <c r="K957" s="94"/>
      <c r="L957" s="94"/>
      <c r="M957" s="94"/>
      <c r="N957" s="94"/>
      <c r="O957" s="94"/>
      <c r="P957" s="94"/>
      <c r="Q957" s="94"/>
      <c r="R957" s="25"/>
    </row>
    <row r="958" spans="1:18" x14ac:dyDescent="0.25">
      <c r="A958" s="159"/>
      <c r="B958" s="160"/>
      <c r="C958" s="160"/>
      <c r="D958" s="160"/>
      <c r="E958" s="161"/>
      <c r="F958" s="160"/>
      <c r="G958" s="162"/>
      <c r="H958" s="162"/>
      <c r="I958" s="170" t="s">
        <v>1193</v>
      </c>
      <c r="J958" s="162"/>
      <c r="K958" s="162"/>
      <c r="L958" s="162"/>
      <c r="M958" s="162"/>
      <c r="N958" s="162"/>
      <c r="O958" s="162"/>
      <c r="P958" s="162"/>
      <c r="Q958" s="162"/>
      <c r="R958" s="25"/>
    </row>
    <row r="959" spans="1:18" s="25" customFormat="1" ht="30" x14ac:dyDescent="0.25">
      <c r="A959" s="149"/>
      <c r="B959" s="148"/>
      <c r="C959" s="148"/>
      <c r="D959" s="143" t="s">
        <v>875</v>
      </c>
      <c r="E959" s="144" t="s">
        <v>876</v>
      </c>
      <c r="F959" s="143" t="s">
        <v>1215</v>
      </c>
      <c r="G959" s="146"/>
      <c r="H959" s="146"/>
      <c r="I959" s="146">
        <v>1</v>
      </c>
      <c r="J959" s="146">
        <f>SUM(J960:J962)</f>
        <v>52.56</v>
      </c>
      <c r="K959" s="146">
        <f>SUM(K960:K962)</f>
        <v>7.8900000000000006</v>
      </c>
      <c r="L959" s="146">
        <f>J959+K959</f>
        <v>60.45</v>
      </c>
      <c r="M959" s="146">
        <f>I959*J959</f>
        <v>52.56</v>
      </c>
      <c r="N959" s="146">
        <f>I959*K959</f>
        <v>7.8900000000000006</v>
      </c>
      <c r="O959" s="146">
        <f>M959+N959</f>
        <v>60.45</v>
      </c>
      <c r="P959" s="146">
        <f>O959*$P$1</f>
        <v>15.511470000000001</v>
      </c>
      <c r="Q959" s="146">
        <f>P959+O959</f>
        <v>75.961470000000006</v>
      </c>
    </row>
    <row r="960" spans="1:18" x14ac:dyDescent="0.25">
      <c r="A960" s="133" t="s">
        <v>22</v>
      </c>
      <c r="B960" s="89"/>
      <c r="C960" s="89">
        <v>88247</v>
      </c>
      <c r="D960" s="89"/>
      <c r="E960" s="90" t="s">
        <v>599</v>
      </c>
      <c r="F960" s="89" t="s">
        <v>29</v>
      </c>
      <c r="G960" s="91">
        <v>0.18</v>
      </c>
      <c r="H960" s="91">
        <f>H825</f>
        <v>19.100000000000001</v>
      </c>
      <c r="I960" s="117" t="s">
        <v>1193</v>
      </c>
      <c r="J960" s="91"/>
      <c r="K960" s="91">
        <f>ROUND(G960*H960,2)</f>
        <v>3.44</v>
      </c>
      <c r="L960" s="91"/>
      <c r="M960" s="91"/>
      <c r="N960" s="91"/>
      <c r="O960" s="91"/>
      <c r="P960" s="91"/>
      <c r="Q960" s="91"/>
      <c r="R960" s="25"/>
    </row>
    <row r="961" spans="1:18" x14ac:dyDescent="0.25">
      <c r="A961" s="134" t="s">
        <v>22</v>
      </c>
      <c r="B961" s="92"/>
      <c r="C961" s="92">
        <v>88264</v>
      </c>
      <c r="D961" s="92"/>
      <c r="E961" s="93" t="s">
        <v>594</v>
      </c>
      <c r="F961" s="92" t="s">
        <v>29</v>
      </c>
      <c r="G961" s="94">
        <v>0.18</v>
      </c>
      <c r="H961" s="94">
        <f>H826</f>
        <v>24.73</v>
      </c>
      <c r="I961" s="116" t="s">
        <v>1193</v>
      </c>
      <c r="J961" s="94"/>
      <c r="K961" s="94">
        <f>ROUND(G961*H961,2)</f>
        <v>4.45</v>
      </c>
      <c r="L961" s="94"/>
      <c r="M961" s="94"/>
      <c r="N961" s="94"/>
      <c r="O961" s="94"/>
      <c r="P961" s="94"/>
      <c r="Q961" s="94"/>
      <c r="R961" s="25"/>
    </row>
    <row r="962" spans="1:18" x14ac:dyDescent="0.25">
      <c r="A962" s="252" t="s">
        <v>877</v>
      </c>
      <c r="B962" s="89"/>
      <c r="C962" s="89"/>
      <c r="D962" s="89"/>
      <c r="E962" s="90" t="s">
        <v>878</v>
      </c>
      <c r="F962" s="89" t="s">
        <v>39</v>
      </c>
      <c r="G962" s="91">
        <v>1.1499999999999999</v>
      </c>
      <c r="H962" s="341">
        <f>'MAPA COTAÇÕES ELÉTRICA'!L4/2.1</f>
        <v>45.7</v>
      </c>
      <c r="I962" s="253" t="s">
        <v>1193</v>
      </c>
      <c r="J962" s="193">
        <f>ROUND(H962*G962,2)</f>
        <v>52.56</v>
      </c>
      <c r="K962" s="193"/>
      <c r="L962" s="193"/>
      <c r="M962" s="193"/>
      <c r="N962" s="193"/>
      <c r="O962" s="193"/>
      <c r="P962" s="193"/>
      <c r="Q962" s="193"/>
      <c r="R962" s="25"/>
    </row>
    <row r="963" spans="1:18" x14ac:dyDescent="0.25">
      <c r="A963" s="163"/>
      <c r="B963" s="101"/>
      <c r="C963" s="101"/>
      <c r="D963" s="101"/>
      <c r="E963" s="102"/>
      <c r="F963" s="101"/>
      <c r="G963" s="96"/>
      <c r="H963" s="96"/>
      <c r="I963" s="169" t="s">
        <v>1193</v>
      </c>
      <c r="J963" s="96"/>
      <c r="K963" s="96"/>
      <c r="L963" s="96"/>
      <c r="M963" s="96"/>
      <c r="N963" s="96"/>
      <c r="O963" s="96"/>
      <c r="P963" s="96"/>
      <c r="Q963" s="96"/>
      <c r="R963" s="25"/>
    </row>
    <row r="964" spans="1:18" s="25" customFormat="1" ht="30" x14ac:dyDescent="0.25">
      <c r="A964" s="149"/>
      <c r="B964" s="148"/>
      <c r="C964" s="148"/>
      <c r="D964" s="143" t="s">
        <v>879</v>
      </c>
      <c r="E964" s="144" t="s">
        <v>880</v>
      </c>
      <c r="F964" s="143" t="s">
        <v>1215</v>
      </c>
      <c r="G964" s="146"/>
      <c r="H964" s="146"/>
      <c r="I964" s="146">
        <v>1</v>
      </c>
      <c r="J964" s="146">
        <f>SUM(J965:J967)</f>
        <v>33.520000000000003</v>
      </c>
      <c r="K964" s="146">
        <f>SUM(K965:K967)</f>
        <v>7.8900000000000006</v>
      </c>
      <c r="L964" s="146">
        <f>J964+K964</f>
        <v>41.410000000000004</v>
      </c>
      <c r="M964" s="146">
        <f>I964*J964</f>
        <v>33.520000000000003</v>
      </c>
      <c r="N964" s="146">
        <f>I964*K964</f>
        <v>7.8900000000000006</v>
      </c>
      <c r="O964" s="146">
        <f>M964+N964</f>
        <v>41.410000000000004</v>
      </c>
      <c r="P964" s="146">
        <f>O964*$P$1</f>
        <v>10.625806000000001</v>
      </c>
      <c r="Q964" s="146">
        <f>P964+O964</f>
        <v>52.035806000000008</v>
      </c>
    </row>
    <row r="965" spans="1:18" x14ac:dyDescent="0.25">
      <c r="A965" s="134" t="s">
        <v>22</v>
      </c>
      <c r="B965" s="92"/>
      <c r="C965" s="92">
        <v>88247</v>
      </c>
      <c r="D965" s="92"/>
      <c r="E965" s="93" t="s">
        <v>599</v>
      </c>
      <c r="F965" s="92" t="s">
        <v>29</v>
      </c>
      <c r="G965" s="94">
        <v>0.18</v>
      </c>
      <c r="H965" s="94">
        <f>H825</f>
        <v>19.100000000000001</v>
      </c>
      <c r="I965" s="116" t="s">
        <v>1193</v>
      </c>
      <c r="J965" s="94"/>
      <c r="K965" s="94">
        <f>ROUND(G965*H965,2)</f>
        <v>3.44</v>
      </c>
      <c r="L965" s="94"/>
      <c r="M965" s="94"/>
      <c r="N965" s="94"/>
      <c r="O965" s="94"/>
      <c r="P965" s="94"/>
      <c r="Q965" s="94"/>
      <c r="R965" s="25"/>
    </row>
    <row r="966" spans="1:18" x14ac:dyDescent="0.25">
      <c r="A966" s="133" t="s">
        <v>22</v>
      </c>
      <c r="B966" s="89"/>
      <c r="C966" s="89">
        <v>88264</v>
      </c>
      <c r="D966" s="89"/>
      <c r="E966" s="90" t="s">
        <v>594</v>
      </c>
      <c r="F966" s="89" t="s">
        <v>29</v>
      </c>
      <c r="G966" s="91">
        <v>0.18</v>
      </c>
      <c r="H966" s="91">
        <f>H826</f>
        <v>24.73</v>
      </c>
      <c r="I966" s="117" t="s">
        <v>1193</v>
      </c>
      <c r="J966" s="91"/>
      <c r="K966" s="91">
        <f>ROUND(G966*H966,2)</f>
        <v>4.45</v>
      </c>
      <c r="L966" s="91"/>
      <c r="M966" s="91"/>
      <c r="N966" s="91"/>
      <c r="O966" s="91"/>
      <c r="P966" s="91"/>
      <c r="Q966" s="91"/>
      <c r="R966" s="25"/>
    </row>
    <row r="967" spans="1:18" ht="30" x14ac:dyDescent="0.25">
      <c r="A967" s="252" t="s">
        <v>877</v>
      </c>
      <c r="B967" s="89"/>
      <c r="C967" s="89"/>
      <c r="D967" s="89"/>
      <c r="E967" s="100" t="str">
        <f>E964</f>
        <v>CANALETA em PVC para piso DP3 ,para instalação elétrica aparente, inclusive conexões e fixação, dimensões 50 x 20 mm</v>
      </c>
      <c r="F967" s="89" t="s">
        <v>39</v>
      </c>
      <c r="G967" s="91">
        <v>1.1499999999999999</v>
      </c>
      <c r="H967" s="342">
        <f>'MAPA COTAÇÕES ELÉTRICA'!L5/2</f>
        <v>29.15</v>
      </c>
      <c r="I967" s="253" t="s">
        <v>1193</v>
      </c>
      <c r="J967" s="193">
        <f>ROUND(H967*G967,2)</f>
        <v>33.520000000000003</v>
      </c>
      <c r="K967" s="193"/>
      <c r="L967" s="193"/>
      <c r="M967" s="193"/>
      <c r="N967" s="193"/>
      <c r="O967" s="193"/>
      <c r="P967" s="193"/>
      <c r="Q967" s="193"/>
      <c r="R967" s="25"/>
    </row>
    <row r="968" spans="1:18" x14ac:dyDescent="0.25">
      <c r="A968" s="159"/>
      <c r="B968" s="160"/>
      <c r="C968" s="160"/>
      <c r="D968" s="160"/>
      <c r="E968" s="171"/>
      <c r="F968" s="160"/>
      <c r="G968" s="162"/>
      <c r="H968" s="162"/>
      <c r="I968" s="170" t="s">
        <v>1193</v>
      </c>
      <c r="J968" s="162"/>
      <c r="K968" s="162"/>
      <c r="L968" s="162"/>
      <c r="M968" s="162"/>
      <c r="N968" s="162"/>
      <c r="O968" s="162"/>
      <c r="P968" s="162"/>
      <c r="Q968" s="162"/>
      <c r="R968" s="25"/>
    </row>
    <row r="969" spans="1:18" s="25" customFormat="1" ht="30" x14ac:dyDescent="0.25">
      <c r="A969" s="149"/>
      <c r="B969" s="148"/>
      <c r="C969" s="148"/>
      <c r="D969" s="143" t="s">
        <v>881</v>
      </c>
      <c r="E969" s="337" t="s">
        <v>882</v>
      </c>
      <c r="F969" s="143" t="s">
        <v>1215</v>
      </c>
      <c r="G969" s="146"/>
      <c r="H969" s="146"/>
      <c r="I969" s="146">
        <v>1</v>
      </c>
      <c r="J969" s="146">
        <f>SUM(J970:J972)</f>
        <v>21.48</v>
      </c>
      <c r="K969" s="146">
        <f>SUM(K970:K972)</f>
        <v>13.15</v>
      </c>
      <c r="L969" s="146">
        <f>J969+K969</f>
        <v>34.630000000000003</v>
      </c>
      <c r="M969" s="146">
        <f>I969*J969</f>
        <v>21.48</v>
      </c>
      <c r="N969" s="146">
        <f>I969*K969</f>
        <v>13.15</v>
      </c>
      <c r="O969" s="146">
        <f>M969+N969</f>
        <v>34.630000000000003</v>
      </c>
      <c r="P969" s="146">
        <f>O969*$P$1</f>
        <v>8.8860580000000002</v>
      </c>
      <c r="Q969" s="146">
        <f>P969+O969</f>
        <v>43.516058000000001</v>
      </c>
    </row>
    <row r="970" spans="1:18" x14ac:dyDescent="0.25">
      <c r="A970" s="133" t="s">
        <v>22</v>
      </c>
      <c r="B970" s="89"/>
      <c r="C970" s="89">
        <v>88247</v>
      </c>
      <c r="D970" s="89"/>
      <c r="E970" s="90" t="s">
        <v>599</v>
      </c>
      <c r="F970" s="89" t="s">
        <v>29</v>
      </c>
      <c r="G970" s="91">
        <v>0.3</v>
      </c>
      <c r="H970" s="91">
        <f>H825</f>
        <v>19.100000000000001</v>
      </c>
      <c r="I970" s="117" t="s">
        <v>1193</v>
      </c>
      <c r="J970" s="91"/>
      <c r="K970" s="91">
        <f>ROUND(G970*H970,2)</f>
        <v>5.73</v>
      </c>
      <c r="L970" s="91"/>
      <c r="M970" s="91"/>
      <c r="N970" s="91"/>
      <c r="O970" s="91"/>
      <c r="P970" s="91"/>
      <c r="Q970" s="91"/>
      <c r="R970" s="25"/>
    </row>
    <row r="971" spans="1:18" x14ac:dyDescent="0.25">
      <c r="A971" s="134" t="s">
        <v>22</v>
      </c>
      <c r="B971" s="92"/>
      <c r="C971" s="92">
        <v>88264</v>
      </c>
      <c r="D971" s="92"/>
      <c r="E971" s="93" t="s">
        <v>594</v>
      </c>
      <c r="F971" s="92" t="s">
        <v>29</v>
      </c>
      <c r="G971" s="94">
        <v>0.3</v>
      </c>
      <c r="H971" s="94">
        <f>H826</f>
        <v>24.73</v>
      </c>
      <c r="I971" s="116" t="s">
        <v>1193</v>
      </c>
      <c r="J971" s="94"/>
      <c r="K971" s="94">
        <f>ROUND(G971*H971,2)</f>
        <v>7.42</v>
      </c>
      <c r="L971" s="94"/>
      <c r="M971" s="94"/>
      <c r="N971" s="94"/>
      <c r="O971" s="94"/>
      <c r="P971" s="94"/>
      <c r="Q971" s="94"/>
      <c r="R971" s="25"/>
    </row>
    <row r="972" spans="1:18" ht="30" x14ac:dyDescent="0.25">
      <c r="A972" s="133" t="s">
        <v>35</v>
      </c>
      <c r="B972" s="89"/>
      <c r="C972" s="126">
        <v>16115000204</v>
      </c>
      <c r="D972" s="89"/>
      <c r="E972" s="100" t="str">
        <f>E969</f>
        <v>Tomada elétrica dupla,  sistema X - ou em condulete eletroduto ¾ (miolo branco ou vermelho)</v>
      </c>
      <c r="F972" s="89" t="s">
        <v>1215</v>
      </c>
      <c r="G972" s="91">
        <v>1</v>
      </c>
      <c r="H972" s="91">
        <v>21.48</v>
      </c>
      <c r="I972" s="117" t="s">
        <v>1193</v>
      </c>
      <c r="J972" s="91">
        <f>ROUND(H972*G972,2)</f>
        <v>21.48</v>
      </c>
      <c r="K972" s="91"/>
      <c r="L972" s="91"/>
      <c r="M972" s="91"/>
      <c r="N972" s="91"/>
      <c r="O972" s="91"/>
      <c r="P972" s="91"/>
      <c r="Q972" s="91"/>
      <c r="R972" s="25"/>
    </row>
    <row r="973" spans="1:18" x14ac:dyDescent="0.25">
      <c r="A973" s="163"/>
      <c r="B973" s="101"/>
      <c r="C973" s="172"/>
      <c r="D973" s="101"/>
      <c r="E973" s="104"/>
      <c r="F973" s="101"/>
      <c r="G973" s="96"/>
      <c r="H973" s="96"/>
      <c r="I973" s="169" t="s">
        <v>1193</v>
      </c>
      <c r="J973" s="96"/>
      <c r="K973" s="96"/>
      <c r="L973" s="96"/>
      <c r="M973" s="96"/>
      <c r="N973" s="96"/>
      <c r="O973" s="96"/>
      <c r="P973" s="96"/>
      <c r="Q973" s="96"/>
      <c r="R973" s="25"/>
    </row>
    <row r="974" spans="1:18" s="25" customFormat="1" x14ac:dyDescent="0.25">
      <c r="A974" s="149"/>
      <c r="B974" s="148"/>
      <c r="C974" s="148"/>
      <c r="D974" s="143" t="s">
        <v>883</v>
      </c>
      <c r="E974" s="144" t="s">
        <v>884</v>
      </c>
      <c r="F974" s="143" t="s">
        <v>1215</v>
      </c>
      <c r="G974" s="146"/>
      <c r="H974" s="146"/>
      <c r="I974" s="146">
        <v>1</v>
      </c>
      <c r="J974" s="146">
        <f>SUM(J975:J977)</f>
        <v>20.75</v>
      </c>
      <c r="K974" s="146">
        <f>SUM(K975:K977)</f>
        <v>17.53</v>
      </c>
      <c r="L974" s="146">
        <f>J974+K974</f>
        <v>38.28</v>
      </c>
      <c r="M974" s="146">
        <f>I974*J974</f>
        <v>20.75</v>
      </c>
      <c r="N974" s="146">
        <f>I974*K974</f>
        <v>17.53</v>
      </c>
      <c r="O974" s="146">
        <f>M974+N974</f>
        <v>38.28</v>
      </c>
      <c r="P974" s="146">
        <f>O974*$P$1</f>
        <v>9.8226480000000009</v>
      </c>
      <c r="Q974" s="146">
        <f>P974+O974</f>
        <v>48.102648000000002</v>
      </c>
    </row>
    <row r="975" spans="1:18" x14ac:dyDescent="0.25">
      <c r="A975" s="134" t="s">
        <v>22</v>
      </c>
      <c r="B975" s="92"/>
      <c r="C975" s="92">
        <v>88247</v>
      </c>
      <c r="D975" s="92"/>
      <c r="E975" s="93" t="s">
        <v>599</v>
      </c>
      <c r="F975" s="92" t="s">
        <v>29</v>
      </c>
      <c r="G975" s="94">
        <v>0.4</v>
      </c>
      <c r="H975" s="94">
        <f>H825</f>
        <v>19.100000000000001</v>
      </c>
      <c r="I975" s="116" t="s">
        <v>1193</v>
      </c>
      <c r="J975" s="94"/>
      <c r="K975" s="94">
        <f>ROUND(G975*H975,2)</f>
        <v>7.64</v>
      </c>
      <c r="L975" s="94"/>
      <c r="M975" s="94"/>
      <c r="N975" s="94"/>
      <c r="O975" s="94"/>
      <c r="P975" s="94"/>
      <c r="Q975" s="94"/>
      <c r="R975" s="25"/>
    </row>
    <row r="976" spans="1:18" x14ac:dyDescent="0.25">
      <c r="A976" s="133" t="s">
        <v>22</v>
      </c>
      <c r="B976" s="89"/>
      <c r="C976" s="89">
        <v>88264</v>
      </c>
      <c r="D976" s="89"/>
      <c r="E976" s="90" t="s">
        <v>594</v>
      </c>
      <c r="F976" s="89" t="s">
        <v>29</v>
      </c>
      <c r="G976" s="91">
        <v>0.4</v>
      </c>
      <c r="H976" s="91">
        <f>H826</f>
        <v>24.73</v>
      </c>
      <c r="I976" s="117" t="s">
        <v>1193</v>
      </c>
      <c r="J976" s="91"/>
      <c r="K976" s="91">
        <f>ROUND(G976*H976,2)</f>
        <v>9.89</v>
      </c>
      <c r="L976" s="91"/>
      <c r="M976" s="91"/>
      <c r="N976" s="91"/>
      <c r="O976" s="91"/>
      <c r="P976" s="91"/>
      <c r="Q976" s="91"/>
      <c r="R976" s="25"/>
    </row>
    <row r="977" spans="1:18" x14ac:dyDescent="0.25">
      <c r="A977" s="134" t="s">
        <v>35</v>
      </c>
      <c r="B977" s="92"/>
      <c r="C977" s="92" t="s">
        <v>885</v>
      </c>
      <c r="D977" s="92"/>
      <c r="E977" s="93" t="str">
        <f>E974</f>
        <v>Caixa para ponto duplo RJ45,  com caixa em sistema X - ou em condulete eletroduto ¾</v>
      </c>
      <c r="F977" s="92" t="s">
        <v>1215</v>
      </c>
      <c r="G977" s="94">
        <v>1</v>
      </c>
      <c r="H977" s="94">
        <v>20.75</v>
      </c>
      <c r="I977" s="116" t="s">
        <v>1193</v>
      </c>
      <c r="J977" s="94">
        <f>ROUND(H977*G977,2)</f>
        <v>20.75</v>
      </c>
      <c r="K977" s="94"/>
      <c r="L977" s="94"/>
      <c r="M977" s="94"/>
      <c r="N977" s="94"/>
      <c r="O977" s="94"/>
      <c r="P977" s="94"/>
      <c r="Q977" s="94"/>
      <c r="R977" s="25"/>
    </row>
    <row r="978" spans="1:18" x14ac:dyDescent="0.25">
      <c r="A978" s="159"/>
      <c r="B978" s="160"/>
      <c r="C978" s="160"/>
      <c r="D978" s="160"/>
      <c r="E978" s="161"/>
      <c r="F978" s="160"/>
      <c r="G978" s="162"/>
      <c r="H978" s="162"/>
      <c r="I978" s="170" t="s">
        <v>1193</v>
      </c>
      <c r="J978" s="162"/>
      <c r="K978" s="162"/>
      <c r="L978" s="162"/>
      <c r="M978" s="162"/>
      <c r="N978" s="162"/>
      <c r="O978" s="162"/>
      <c r="P978" s="162"/>
      <c r="Q978" s="162"/>
      <c r="R978" s="25"/>
    </row>
    <row r="979" spans="1:18" s="25" customFormat="1" x14ac:dyDescent="0.25">
      <c r="A979" s="149"/>
      <c r="B979" s="148"/>
      <c r="C979" s="148"/>
      <c r="D979" s="143" t="s">
        <v>886</v>
      </c>
      <c r="E979" s="144" t="s">
        <v>887</v>
      </c>
      <c r="F979" s="143" t="s">
        <v>1215</v>
      </c>
      <c r="G979" s="146"/>
      <c r="H979" s="146"/>
      <c r="I979" s="146">
        <v>1</v>
      </c>
      <c r="J979" s="146">
        <f>SUM(J980:J982)</f>
        <v>23.02</v>
      </c>
      <c r="K979" s="146">
        <f>SUM(K980:K982)</f>
        <v>13.15</v>
      </c>
      <c r="L979" s="146">
        <f>J979+K979</f>
        <v>36.17</v>
      </c>
      <c r="M979" s="146">
        <f>I979*J979</f>
        <v>23.02</v>
      </c>
      <c r="N979" s="146">
        <f>I979*K979</f>
        <v>13.15</v>
      </c>
      <c r="O979" s="146">
        <f>M979+N979</f>
        <v>36.17</v>
      </c>
      <c r="P979" s="146">
        <f>O979*$P$1</f>
        <v>9.2812219999999996</v>
      </c>
      <c r="Q979" s="146">
        <f>P979+O979</f>
        <v>45.451222000000001</v>
      </c>
    </row>
    <row r="980" spans="1:18" x14ac:dyDescent="0.25">
      <c r="A980" s="133" t="s">
        <v>22</v>
      </c>
      <c r="B980" s="89"/>
      <c r="C980" s="89">
        <v>88247</v>
      </c>
      <c r="D980" s="89"/>
      <c r="E980" s="90" t="s">
        <v>599</v>
      </c>
      <c r="F980" s="89" t="s">
        <v>29</v>
      </c>
      <c r="G980" s="91">
        <v>0.3</v>
      </c>
      <c r="H980" s="91">
        <f>H825</f>
        <v>19.100000000000001</v>
      </c>
      <c r="I980" s="117" t="s">
        <v>1193</v>
      </c>
      <c r="J980" s="91"/>
      <c r="K980" s="91">
        <f>ROUND(G980*H980,2)</f>
        <v>5.73</v>
      </c>
      <c r="L980" s="91"/>
      <c r="M980" s="91"/>
      <c r="N980" s="91"/>
      <c r="O980" s="91"/>
      <c r="P980" s="91"/>
      <c r="Q980" s="91"/>
      <c r="R980" s="25"/>
    </row>
    <row r="981" spans="1:18" x14ac:dyDescent="0.25">
      <c r="A981" s="134" t="s">
        <v>22</v>
      </c>
      <c r="B981" s="92"/>
      <c r="C981" s="92">
        <v>88264</v>
      </c>
      <c r="D981" s="92"/>
      <c r="E981" s="93" t="s">
        <v>594</v>
      </c>
      <c r="F981" s="92" t="s">
        <v>29</v>
      </c>
      <c r="G981" s="94">
        <v>0.3</v>
      </c>
      <c r="H981" s="94">
        <f>H826</f>
        <v>24.73</v>
      </c>
      <c r="I981" s="116" t="s">
        <v>1193</v>
      </c>
      <c r="J981" s="94"/>
      <c r="K981" s="94">
        <f>ROUND(G981*H981,2)</f>
        <v>7.42</v>
      </c>
      <c r="L981" s="94"/>
      <c r="M981" s="94"/>
      <c r="N981" s="94"/>
      <c r="O981" s="94"/>
      <c r="P981" s="94"/>
      <c r="Q981" s="94"/>
      <c r="R981" s="25"/>
    </row>
    <row r="982" spans="1:18" x14ac:dyDescent="0.25">
      <c r="A982" s="133" t="s">
        <v>35</v>
      </c>
      <c r="B982" s="89"/>
      <c r="C982" s="89" t="s">
        <v>888</v>
      </c>
      <c r="D982" s="89"/>
      <c r="E982" s="90" t="str">
        <f>E979</f>
        <v>Interruptor com caixa em sistema X - ou em condulete eletroduto 3/4.</v>
      </c>
      <c r="F982" s="89" t="s">
        <v>1215</v>
      </c>
      <c r="G982" s="91">
        <v>1</v>
      </c>
      <c r="H982" s="91">
        <v>23.02</v>
      </c>
      <c r="I982" s="117" t="s">
        <v>1193</v>
      </c>
      <c r="J982" s="91">
        <f>ROUND(H982*G982,2)</f>
        <v>23.02</v>
      </c>
      <c r="K982" s="91"/>
      <c r="L982" s="91"/>
      <c r="M982" s="91"/>
      <c r="N982" s="91"/>
      <c r="O982" s="91"/>
      <c r="P982" s="91"/>
      <c r="Q982" s="91"/>
      <c r="R982" s="25"/>
    </row>
    <row r="983" spans="1:18" x14ac:dyDescent="0.25">
      <c r="A983" s="163"/>
      <c r="B983" s="101"/>
      <c r="C983" s="101"/>
      <c r="D983" s="101"/>
      <c r="E983" s="102"/>
      <c r="F983" s="101"/>
      <c r="G983" s="96"/>
      <c r="H983" s="96"/>
      <c r="I983" s="169" t="s">
        <v>1193</v>
      </c>
      <c r="J983" s="96"/>
      <c r="K983" s="96"/>
      <c r="L983" s="96"/>
      <c r="M983" s="96"/>
      <c r="N983" s="96"/>
      <c r="O983" s="96"/>
      <c r="P983" s="96"/>
      <c r="Q983" s="96"/>
      <c r="R983" s="25"/>
    </row>
    <row r="984" spans="1:18" s="25" customFormat="1" ht="30" x14ac:dyDescent="0.25">
      <c r="A984" s="149"/>
      <c r="B984" s="148"/>
      <c r="C984" s="148"/>
      <c r="D984" s="143" t="s">
        <v>889</v>
      </c>
      <c r="E984" s="144" t="s">
        <v>890</v>
      </c>
      <c r="F984" s="143" t="s">
        <v>1215</v>
      </c>
      <c r="G984" s="146"/>
      <c r="H984" s="146"/>
      <c r="I984" s="146">
        <v>1</v>
      </c>
      <c r="J984" s="146">
        <f>SUM(J985:J987)</f>
        <v>2.74</v>
      </c>
      <c r="K984" s="146">
        <f>SUM(K985:K987)</f>
        <v>6.58</v>
      </c>
      <c r="L984" s="146">
        <f>J984+K984</f>
        <v>9.32</v>
      </c>
      <c r="M984" s="146">
        <f>I984*J984</f>
        <v>2.74</v>
      </c>
      <c r="N984" s="146">
        <f>I984*K984</f>
        <v>6.58</v>
      </c>
      <c r="O984" s="146">
        <f>M984+N984</f>
        <v>9.32</v>
      </c>
      <c r="P984" s="146">
        <f>O984*$P$1</f>
        <v>2.3915120000000001</v>
      </c>
      <c r="Q984" s="146">
        <f>P984+O984</f>
        <v>11.711512000000001</v>
      </c>
    </row>
    <row r="985" spans="1:18" x14ac:dyDescent="0.25">
      <c r="A985" s="134" t="s">
        <v>22</v>
      </c>
      <c r="B985" s="92"/>
      <c r="C985" s="92">
        <v>88247</v>
      </c>
      <c r="D985" s="92"/>
      <c r="E985" s="93" t="s">
        <v>599</v>
      </c>
      <c r="F985" s="92" t="s">
        <v>29</v>
      </c>
      <c r="G985" s="94">
        <v>0.15</v>
      </c>
      <c r="H985" s="94">
        <f>H825</f>
        <v>19.100000000000001</v>
      </c>
      <c r="I985" s="116" t="s">
        <v>1193</v>
      </c>
      <c r="J985" s="94"/>
      <c r="K985" s="94">
        <f>ROUND(G985*H985,2)</f>
        <v>2.87</v>
      </c>
      <c r="L985" s="94"/>
      <c r="M985" s="94"/>
      <c r="N985" s="94"/>
      <c r="O985" s="94"/>
      <c r="P985" s="94"/>
      <c r="Q985" s="94"/>
      <c r="R985" s="25"/>
    </row>
    <row r="986" spans="1:18" x14ac:dyDescent="0.25">
      <c r="A986" s="133" t="s">
        <v>22</v>
      </c>
      <c r="B986" s="89"/>
      <c r="C986" s="89">
        <v>88264</v>
      </c>
      <c r="D986" s="89"/>
      <c r="E986" s="90" t="s">
        <v>594</v>
      </c>
      <c r="F986" s="89" t="s">
        <v>29</v>
      </c>
      <c r="G986" s="91">
        <v>0.15</v>
      </c>
      <c r="H986" s="91">
        <f>H826</f>
        <v>24.73</v>
      </c>
      <c r="I986" s="117" t="s">
        <v>1193</v>
      </c>
      <c r="J986" s="91"/>
      <c r="K986" s="91">
        <f>ROUND(G986*H986,2)</f>
        <v>3.71</v>
      </c>
      <c r="L986" s="91"/>
      <c r="M986" s="91"/>
      <c r="N986" s="91"/>
      <c r="O986" s="91"/>
      <c r="P986" s="91"/>
      <c r="Q986" s="91"/>
      <c r="R986" s="25"/>
    </row>
    <row r="987" spans="1:18" x14ac:dyDescent="0.25">
      <c r="A987" s="134" t="s">
        <v>35</v>
      </c>
      <c r="B987" s="92"/>
      <c r="C987" s="110" t="s">
        <v>891</v>
      </c>
      <c r="D987" s="92"/>
      <c r="E987" s="95" t="s">
        <v>892</v>
      </c>
      <c r="F987" s="92" t="s">
        <v>1215</v>
      </c>
      <c r="G987" s="94">
        <v>1</v>
      </c>
      <c r="H987" s="94">
        <v>2.74</v>
      </c>
      <c r="I987" s="116" t="s">
        <v>1193</v>
      </c>
      <c r="J987" s="94">
        <f>ROUND(H987*G987,2)</f>
        <v>2.74</v>
      </c>
      <c r="K987" s="94"/>
      <c r="L987" s="94"/>
      <c r="M987" s="94"/>
      <c r="N987" s="94"/>
      <c r="O987" s="94"/>
      <c r="P987" s="94"/>
      <c r="Q987" s="94"/>
      <c r="R987" s="25"/>
    </row>
    <row r="988" spans="1:18" x14ac:dyDescent="0.25">
      <c r="A988" s="159"/>
      <c r="B988" s="160"/>
      <c r="C988" s="160"/>
      <c r="D988" s="160"/>
      <c r="E988" s="161"/>
      <c r="F988" s="160"/>
      <c r="G988" s="162"/>
      <c r="H988" s="162"/>
      <c r="I988" s="170" t="s">
        <v>1193</v>
      </c>
      <c r="J988" s="162"/>
      <c r="K988" s="162"/>
      <c r="L988" s="162"/>
      <c r="M988" s="162"/>
      <c r="N988" s="162"/>
      <c r="O988" s="162"/>
      <c r="P988" s="162"/>
      <c r="Q988" s="162"/>
      <c r="R988" s="25"/>
    </row>
    <row r="989" spans="1:18" s="25" customFormat="1" ht="30" x14ac:dyDescent="0.25">
      <c r="A989" s="149"/>
      <c r="B989" s="148"/>
      <c r="C989" s="148"/>
      <c r="D989" s="143" t="s">
        <v>893</v>
      </c>
      <c r="E989" s="144" t="s">
        <v>894</v>
      </c>
      <c r="F989" s="143" t="s">
        <v>1215</v>
      </c>
      <c r="G989" s="146"/>
      <c r="H989" s="146"/>
      <c r="I989" s="146">
        <v>1</v>
      </c>
      <c r="J989" s="146">
        <f>SUM(J990:J992)</f>
        <v>7.18</v>
      </c>
      <c r="K989" s="146">
        <f>SUM(K990:K992)</f>
        <v>6.58</v>
      </c>
      <c r="L989" s="146">
        <f>J989+K989</f>
        <v>13.76</v>
      </c>
      <c r="M989" s="146">
        <f>I989*J989</f>
        <v>7.18</v>
      </c>
      <c r="N989" s="146">
        <f>I989*K989</f>
        <v>6.58</v>
      </c>
      <c r="O989" s="146">
        <f>M989+N989</f>
        <v>13.76</v>
      </c>
      <c r="P989" s="146">
        <f>O989*$P$1</f>
        <v>3.5308159999999997</v>
      </c>
      <c r="Q989" s="146">
        <f>P989+O989</f>
        <v>17.290816</v>
      </c>
    </row>
    <row r="990" spans="1:18" x14ac:dyDescent="0.25">
      <c r="A990" s="133" t="s">
        <v>22</v>
      </c>
      <c r="B990" s="89"/>
      <c r="C990" s="89">
        <v>88247</v>
      </c>
      <c r="D990" s="89"/>
      <c r="E990" s="90" t="s">
        <v>599</v>
      </c>
      <c r="F990" s="89" t="s">
        <v>29</v>
      </c>
      <c r="G990" s="91">
        <v>0.15</v>
      </c>
      <c r="H990" s="91">
        <f>H825</f>
        <v>19.100000000000001</v>
      </c>
      <c r="I990" s="117" t="s">
        <v>1193</v>
      </c>
      <c r="J990" s="91"/>
      <c r="K990" s="91">
        <f>ROUND(G990*H990,2)</f>
        <v>2.87</v>
      </c>
      <c r="L990" s="91"/>
      <c r="M990" s="91"/>
      <c r="N990" s="91"/>
      <c r="O990" s="91"/>
      <c r="P990" s="91"/>
      <c r="Q990" s="91"/>
      <c r="R990" s="25"/>
    </row>
    <row r="991" spans="1:18" x14ac:dyDescent="0.25">
      <c r="A991" s="134" t="s">
        <v>22</v>
      </c>
      <c r="B991" s="92"/>
      <c r="C991" s="92">
        <v>88264</v>
      </c>
      <c r="D991" s="92"/>
      <c r="E991" s="93" t="s">
        <v>594</v>
      </c>
      <c r="F991" s="92" t="s">
        <v>29</v>
      </c>
      <c r="G991" s="94">
        <v>0.15</v>
      </c>
      <c r="H991" s="94">
        <f>H826</f>
        <v>24.73</v>
      </c>
      <c r="I991" s="116" t="s">
        <v>1193</v>
      </c>
      <c r="J991" s="94"/>
      <c r="K991" s="94">
        <f>ROUND(G991*H991,2)</f>
        <v>3.71</v>
      </c>
      <c r="L991" s="94"/>
      <c r="M991" s="94"/>
      <c r="N991" s="94"/>
      <c r="O991" s="94"/>
      <c r="P991" s="94"/>
      <c r="Q991" s="94"/>
      <c r="R991" s="25"/>
    </row>
    <row r="992" spans="1:18" x14ac:dyDescent="0.25">
      <c r="A992" s="133" t="s">
        <v>35</v>
      </c>
      <c r="B992" s="89"/>
      <c r="C992" s="89" t="s">
        <v>895</v>
      </c>
      <c r="D992" s="89"/>
      <c r="E992" s="100" t="s">
        <v>896</v>
      </c>
      <c r="F992" s="89" t="s">
        <v>1215</v>
      </c>
      <c r="G992" s="91">
        <v>1</v>
      </c>
      <c r="H992" s="91">
        <v>7.18</v>
      </c>
      <c r="I992" s="117" t="s">
        <v>1193</v>
      </c>
      <c r="J992" s="91">
        <f>ROUND(H992*G992,2)</f>
        <v>7.18</v>
      </c>
      <c r="K992" s="91"/>
      <c r="L992" s="91"/>
      <c r="M992" s="91"/>
      <c r="N992" s="91"/>
      <c r="O992" s="91"/>
      <c r="P992" s="91"/>
      <c r="Q992" s="91"/>
      <c r="R992" s="25"/>
    </row>
    <row r="993" spans="1:18" x14ac:dyDescent="0.25">
      <c r="A993" s="163"/>
      <c r="B993" s="101"/>
      <c r="C993" s="101"/>
      <c r="D993" s="101"/>
      <c r="E993" s="102"/>
      <c r="F993" s="101"/>
      <c r="G993" s="96"/>
      <c r="H993" s="96"/>
      <c r="I993" s="169" t="s">
        <v>1193</v>
      </c>
      <c r="J993" s="96"/>
      <c r="K993" s="96"/>
      <c r="L993" s="96"/>
      <c r="M993" s="96"/>
      <c r="N993" s="96"/>
      <c r="O993" s="96"/>
      <c r="P993" s="96"/>
      <c r="Q993" s="96"/>
      <c r="R993" s="25"/>
    </row>
    <row r="994" spans="1:18" s="25" customFormat="1" ht="15.75" x14ac:dyDescent="0.25">
      <c r="A994" s="136"/>
      <c r="B994" s="97"/>
      <c r="C994" s="97"/>
      <c r="D994" s="97">
        <v>15</v>
      </c>
      <c r="E994" s="98" t="s">
        <v>897</v>
      </c>
      <c r="F994" s="97"/>
      <c r="G994" s="97"/>
      <c r="H994" s="330"/>
      <c r="I994" s="97" t="s">
        <v>1193</v>
      </c>
      <c r="J994" s="330"/>
      <c r="K994" s="330"/>
      <c r="L994" s="330"/>
      <c r="M994" s="330"/>
      <c r="N994" s="330"/>
      <c r="O994" s="330"/>
      <c r="P994" s="330"/>
      <c r="Q994" s="330">
        <f>SUM(Q995:Q1028)</f>
        <v>2168.3512620000001</v>
      </c>
    </row>
    <row r="995" spans="1:18" x14ac:dyDescent="0.25">
      <c r="A995" s="163"/>
      <c r="B995" s="101"/>
      <c r="C995" s="101"/>
      <c r="D995" s="101"/>
      <c r="E995" s="102"/>
      <c r="F995" s="101"/>
      <c r="G995" s="96"/>
      <c r="H995" s="96"/>
      <c r="I995" s="169" t="s">
        <v>1193</v>
      </c>
      <c r="J995" s="96"/>
      <c r="K995" s="96"/>
      <c r="L995" s="96"/>
      <c r="M995" s="96"/>
      <c r="N995" s="96"/>
      <c r="O995" s="96"/>
      <c r="P995" s="96"/>
      <c r="Q995" s="96"/>
      <c r="R995" s="25"/>
    </row>
    <row r="996" spans="1:18" s="25" customFormat="1" ht="30" x14ac:dyDescent="0.25">
      <c r="A996" s="149"/>
      <c r="B996" s="148"/>
      <c r="C996" s="148"/>
      <c r="D996" s="143" t="s">
        <v>898</v>
      </c>
      <c r="E996" s="144" t="s">
        <v>899</v>
      </c>
      <c r="F996" s="143" t="s">
        <v>1215</v>
      </c>
      <c r="G996" s="146"/>
      <c r="H996" s="146"/>
      <c r="I996" s="146">
        <v>1</v>
      </c>
      <c r="J996" s="146">
        <f>SUM(J997:J1000)</f>
        <v>1204.98</v>
      </c>
      <c r="K996" s="146">
        <f>SUM(K997:K1000)</f>
        <v>109.58</v>
      </c>
      <c r="L996" s="146">
        <f>J996+K996</f>
        <v>1314.56</v>
      </c>
      <c r="M996" s="146">
        <f>I996*J996</f>
        <v>1204.98</v>
      </c>
      <c r="N996" s="146">
        <f>I996*K996</f>
        <v>109.58</v>
      </c>
      <c r="O996" s="146">
        <f>M996+N996</f>
        <v>1314.56</v>
      </c>
      <c r="P996" s="146">
        <f>O996*$P$1</f>
        <v>337.31609599999996</v>
      </c>
      <c r="Q996" s="146">
        <f>P996+O996</f>
        <v>1651.876096</v>
      </c>
    </row>
    <row r="997" spans="1:18" x14ac:dyDescent="0.25">
      <c r="A997" s="134" t="s">
        <v>22</v>
      </c>
      <c r="B997" s="92"/>
      <c r="C997" s="92">
        <v>88247</v>
      </c>
      <c r="D997" s="92"/>
      <c r="E997" s="93" t="s">
        <v>599</v>
      </c>
      <c r="F997" s="92" t="s">
        <v>29</v>
      </c>
      <c r="G997" s="94">
        <v>2.5</v>
      </c>
      <c r="H997" s="94">
        <f>H825</f>
        <v>19.100000000000001</v>
      </c>
      <c r="I997" s="116" t="s">
        <v>1193</v>
      </c>
      <c r="J997" s="94"/>
      <c r="K997" s="94">
        <f>ROUND(G997*H997,2)</f>
        <v>47.75</v>
      </c>
      <c r="L997" s="94"/>
      <c r="M997" s="94"/>
      <c r="N997" s="94"/>
      <c r="O997" s="94"/>
      <c r="P997" s="94"/>
      <c r="Q997" s="94"/>
      <c r="R997" s="25"/>
    </row>
    <row r="998" spans="1:18" x14ac:dyDescent="0.25">
      <c r="A998" s="133" t="s">
        <v>22</v>
      </c>
      <c r="B998" s="89"/>
      <c r="C998" s="89">
        <v>88264</v>
      </c>
      <c r="D998" s="89"/>
      <c r="E998" s="90" t="s">
        <v>594</v>
      </c>
      <c r="F998" s="89" t="s">
        <v>29</v>
      </c>
      <c r="G998" s="91">
        <v>2.5</v>
      </c>
      <c r="H998" s="91">
        <f>H826</f>
        <v>24.73</v>
      </c>
      <c r="I998" s="117" t="s">
        <v>1193</v>
      </c>
      <c r="J998" s="91"/>
      <c r="K998" s="91">
        <f>ROUND(G998*H998,2)</f>
        <v>61.83</v>
      </c>
      <c r="L998" s="91"/>
      <c r="M998" s="91"/>
      <c r="N998" s="91"/>
      <c r="O998" s="91"/>
      <c r="P998" s="91"/>
      <c r="Q998" s="91"/>
      <c r="R998" s="25"/>
    </row>
    <row r="999" spans="1:18" x14ac:dyDescent="0.25">
      <c r="A999" s="135" t="s">
        <v>877</v>
      </c>
      <c r="B999" s="191"/>
      <c r="C999" s="191"/>
      <c r="D999" s="191"/>
      <c r="E999" s="192" t="s">
        <v>900</v>
      </c>
      <c r="F999" s="191" t="s">
        <v>1215</v>
      </c>
      <c r="G999" s="193">
        <v>2</v>
      </c>
      <c r="H999" s="341">
        <f>'MAPA COTAÇÕES ELÉTRICA'!L35</f>
        <v>27.296666666666667</v>
      </c>
      <c r="I999" s="253" t="s">
        <v>1193</v>
      </c>
      <c r="J999" s="193">
        <f>ROUND(H999*G999,2)</f>
        <v>54.59</v>
      </c>
      <c r="K999" s="193"/>
      <c r="L999" s="193"/>
      <c r="M999" s="193"/>
      <c r="N999" s="193"/>
      <c r="O999" s="193"/>
      <c r="P999" s="193"/>
      <c r="Q999" s="193"/>
      <c r="R999" s="25"/>
    </row>
    <row r="1000" spans="1:18" x14ac:dyDescent="0.25">
      <c r="A1000" s="252" t="s">
        <v>877</v>
      </c>
      <c r="B1000" s="89"/>
      <c r="C1000" s="89"/>
      <c r="D1000" s="89"/>
      <c r="E1000" s="90" t="str">
        <f>E996</f>
        <v>Colunas Plus STD LIGHT 3 metros- ref.: DT 76240.01 com duas luvas de arremate, DT 76940</v>
      </c>
      <c r="F1000" s="89" t="s">
        <v>1215</v>
      </c>
      <c r="G1000" s="91">
        <v>1</v>
      </c>
      <c r="H1000" s="342">
        <f>'MAPA COTAÇÕES ELÉTRICA'!L34</f>
        <v>1150.3866666666665</v>
      </c>
      <c r="I1000" s="253" t="s">
        <v>1193</v>
      </c>
      <c r="J1000" s="193">
        <f>ROUND(H1000*G1000,2)</f>
        <v>1150.3900000000001</v>
      </c>
      <c r="K1000" s="193"/>
      <c r="L1000" s="193"/>
      <c r="M1000" s="193"/>
      <c r="N1000" s="193"/>
      <c r="O1000" s="193"/>
      <c r="P1000" s="193"/>
      <c r="Q1000" s="193"/>
      <c r="R1000" s="25"/>
    </row>
    <row r="1001" spans="1:18" x14ac:dyDescent="0.25">
      <c r="A1001" s="163"/>
      <c r="B1001" s="101"/>
      <c r="C1001" s="101"/>
      <c r="D1001" s="101"/>
      <c r="E1001" s="102"/>
      <c r="F1001" s="101"/>
      <c r="G1001" s="96"/>
      <c r="H1001" s="96"/>
      <c r="I1001" s="169" t="s">
        <v>1193</v>
      </c>
      <c r="J1001" s="96"/>
      <c r="K1001" s="96"/>
      <c r="L1001" s="96"/>
      <c r="M1001" s="96"/>
      <c r="N1001" s="96"/>
      <c r="O1001" s="96"/>
      <c r="P1001" s="96"/>
      <c r="Q1001" s="96"/>
      <c r="R1001" s="25"/>
    </row>
    <row r="1002" spans="1:18" s="25" customFormat="1" x14ac:dyDescent="0.25">
      <c r="A1002" s="149"/>
      <c r="B1002" s="148"/>
      <c r="C1002" s="148"/>
      <c r="D1002" s="143" t="s">
        <v>901</v>
      </c>
      <c r="E1002" s="144" t="s">
        <v>902</v>
      </c>
      <c r="F1002" s="143" t="s">
        <v>1215</v>
      </c>
      <c r="G1002" s="146"/>
      <c r="H1002" s="146"/>
      <c r="I1002" s="146">
        <v>1</v>
      </c>
      <c r="J1002" s="146">
        <f>SUM(J1003:J1004)</f>
        <v>39.58</v>
      </c>
      <c r="K1002" s="146">
        <f>SUM(K1003:K1004)</f>
        <v>3.82</v>
      </c>
      <c r="L1002" s="146">
        <f>J1002+K1002</f>
        <v>43.4</v>
      </c>
      <c r="M1002" s="146">
        <f>I1002*J1002</f>
        <v>39.58</v>
      </c>
      <c r="N1002" s="146">
        <f>I1002*K1002</f>
        <v>3.82</v>
      </c>
      <c r="O1002" s="146">
        <f>M1002+N1002</f>
        <v>43.4</v>
      </c>
      <c r="P1002" s="146">
        <f>O1002*$P$1</f>
        <v>11.136439999999999</v>
      </c>
      <c r="Q1002" s="146">
        <f>P1002+O1002</f>
        <v>54.536439999999999</v>
      </c>
    </row>
    <row r="1003" spans="1:18" x14ac:dyDescent="0.25">
      <c r="A1003" s="134" t="s">
        <v>22</v>
      </c>
      <c r="B1003" s="92"/>
      <c r="C1003" s="92">
        <v>88247</v>
      </c>
      <c r="D1003" s="92"/>
      <c r="E1003" s="93" t="s">
        <v>599</v>
      </c>
      <c r="F1003" s="92" t="s">
        <v>29</v>
      </c>
      <c r="G1003" s="94">
        <v>0.2</v>
      </c>
      <c r="H1003" s="94">
        <f>H825</f>
        <v>19.100000000000001</v>
      </c>
      <c r="I1003" s="116" t="s">
        <v>1193</v>
      </c>
      <c r="J1003" s="94"/>
      <c r="K1003" s="94">
        <f>ROUND(G1003*H1003,2)</f>
        <v>3.82</v>
      </c>
      <c r="L1003" s="94"/>
      <c r="M1003" s="94"/>
      <c r="N1003" s="94"/>
      <c r="O1003" s="94"/>
      <c r="P1003" s="94"/>
      <c r="Q1003" s="94"/>
      <c r="R1003" s="25"/>
    </row>
    <row r="1004" spans="1:18" x14ac:dyDescent="0.25">
      <c r="A1004" s="252" t="s">
        <v>877</v>
      </c>
      <c r="B1004" s="89"/>
      <c r="C1004" s="89"/>
      <c r="D1004" s="89"/>
      <c r="E1004" s="90" t="str">
        <f>E1002</f>
        <v>Fixador de totem para caixa 4” x 4” OU SOBRE DUTO, ref DT 76397.00 /  DT 76391.</v>
      </c>
      <c r="F1004" s="89" t="s">
        <v>1215</v>
      </c>
      <c r="G1004" s="91">
        <v>1</v>
      </c>
      <c r="H1004" s="342">
        <f>'MAPA COTAÇÕES ELÉTRICA'!L38</f>
        <v>39.58</v>
      </c>
      <c r="I1004" s="253" t="s">
        <v>1193</v>
      </c>
      <c r="J1004" s="193">
        <f>ROUND(H1004*G1004,2)</f>
        <v>39.58</v>
      </c>
      <c r="K1004" s="193"/>
      <c r="L1004" s="193"/>
      <c r="M1004" s="193"/>
      <c r="N1004" s="193"/>
      <c r="O1004" s="193"/>
      <c r="P1004" s="193"/>
      <c r="Q1004" s="193"/>
      <c r="R1004" s="25"/>
    </row>
    <row r="1005" spans="1:18" x14ac:dyDescent="0.25">
      <c r="A1005" s="163"/>
      <c r="B1005" s="101"/>
      <c r="C1005" s="101"/>
      <c r="D1005" s="101"/>
      <c r="E1005" s="102"/>
      <c r="F1005" s="101"/>
      <c r="G1005" s="96"/>
      <c r="H1005" s="96"/>
      <c r="I1005" s="169" t="s">
        <v>1193</v>
      </c>
      <c r="J1005" s="96"/>
      <c r="K1005" s="96"/>
      <c r="L1005" s="96"/>
      <c r="M1005" s="96"/>
      <c r="N1005" s="96"/>
      <c r="O1005" s="96"/>
      <c r="P1005" s="96"/>
      <c r="Q1005" s="96"/>
      <c r="R1005" s="25"/>
    </row>
    <row r="1006" spans="1:18" s="25" customFormat="1" x14ac:dyDescent="0.25">
      <c r="A1006" s="149"/>
      <c r="B1006" s="148"/>
      <c r="C1006" s="148"/>
      <c r="D1006" s="143" t="s">
        <v>903</v>
      </c>
      <c r="E1006" s="144" t="s">
        <v>904</v>
      </c>
      <c r="F1006" s="143" t="s">
        <v>1215</v>
      </c>
      <c r="G1006" s="146"/>
      <c r="H1006" s="146"/>
      <c r="I1006" s="146">
        <v>1</v>
      </c>
      <c r="J1006" s="146">
        <f>SUM(J1007:J1009)</f>
        <v>230.11</v>
      </c>
      <c r="K1006" s="146">
        <f>SUM(K1007:K1009)</f>
        <v>87.66</v>
      </c>
      <c r="L1006" s="146">
        <f>J1006+K1006</f>
        <v>317.77</v>
      </c>
      <c r="M1006" s="146">
        <f>I1006*J1006</f>
        <v>230.11</v>
      </c>
      <c r="N1006" s="146">
        <f>I1006*K1006</f>
        <v>87.66</v>
      </c>
      <c r="O1006" s="146">
        <f>M1006+N1006</f>
        <v>317.77</v>
      </c>
      <c r="P1006" s="146">
        <f>O1006*$P$1</f>
        <v>81.539781999999988</v>
      </c>
      <c r="Q1006" s="146">
        <f>P1006+O1006</f>
        <v>399.30978199999998</v>
      </c>
    </row>
    <row r="1007" spans="1:18" x14ac:dyDescent="0.25">
      <c r="A1007" s="134" t="s">
        <v>22</v>
      </c>
      <c r="B1007" s="92"/>
      <c r="C1007" s="92">
        <v>88247</v>
      </c>
      <c r="D1007" s="92"/>
      <c r="E1007" s="93" t="s">
        <v>599</v>
      </c>
      <c r="F1007" s="92" t="s">
        <v>29</v>
      </c>
      <c r="G1007" s="94">
        <v>2</v>
      </c>
      <c r="H1007" s="94">
        <f>H825</f>
        <v>19.100000000000001</v>
      </c>
      <c r="I1007" s="116" t="s">
        <v>1193</v>
      </c>
      <c r="J1007" s="94"/>
      <c r="K1007" s="94">
        <f>ROUND(G1007*H1007,2)</f>
        <v>38.200000000000003</v>
      </c>
      <c r="L1007" s="94"/>
      <c r="M1007" s="94"/>
      <c r="N1007" s="94"/>
      <c r="O1007" s="94"/>
      <c r="P1007" s="94"/>
      <c r="Q1007" s="94"/>
      <c r="R1007" s="25"/>
    </row>
    <row r="1008" spans="1:18" x14ac:dyDescent="0.25">
      <c r="A1008" s="133" t="s">
        <v>22</v>
      </c>
      <c r="B1008" s="89"/>
      <c r="C1008" s="89">
        <v>88264</v>
      </c>
      <c r="D1008" s="89"/>
      <c r="E1008" s="90" t="s">
        <v>594</v>
      </c>
      <c r="F1008" s="89" t="s">
        <v>29</v>
      </c>
      <c r="G1008" s="91">
        <v>2</v>
      </c>
      <c r="H1008" s="91">
        <f>H826</f>
        <v>24.73</v>
      </c>
      <c r="I1008" s="117" t="s">
        <v>1193</v>
      </c>
      <c r="J1008" s="91"/>
      <c r="K1008" s="91">
        <f>ROUND(G1008*H1008,2)</f>
        <v>49.46</v>
      </c>
      <c r="L1008" s="91"/>
      <c r="M1008" s="91"/>
      <c r="N1008" s="91"/>
      <c r="O1008" s="91"/>
      <c r="P1008" s="91"/>
      <c r="Q1008" s="91"/>
      <c r="R1008" s="25"/>
    </row>
    <row r="1009" spans="1:18" x14ac:dyDescent="0.25">
      <c r="A1009" s="135" t="s">
        <v>877</v>
      </c>
      <c r="B1009" s="191"/>
      <c r="C1009" s="191"/>
      <c r="D1009" s="191"/>
      <c r="E1009" s="192" t="str">
        <f>E1006</f>
        <v>Totem Plus H=0,45m - ref.: DT 76344.00</v>
      </c>
      <c r="F1009" s="191" t="s">
        <v>1215</v>
      </c>
      <c r="G1009" s="193">
        <v>1</v>
      </c>
      <c r="H1009" s="341">
        <f>'MAPA COTAÇÕES ELÉTRICA'!L36</f>
        <v>230.11</v>
      </c>
      <c r="I1009" s="253" t="s">
        <v>1193</v>
      </c>
      <c r="J1009" s="193">
        <f>ROUND(H1009*G1009,2)</f>
        <v>230.11</v>
      </c>
      <c r="K1009" s="193"/>
      <c r="L1009" s="193"/>
      <c r="M1009" s="193"/>
      <c r="N1009" s="193"/>
      <c r="O1009" s="193"/>
      <c r="P1009" s="193"/>
      <c r="Q1009" s="193"/>
      <c r="R1009" s="25"/>
    </row>
    <row r="1010" spans="1:18" x14ac:dyDescent="0.25">
      <c r="A1010" s="159"/>
      <c r="B1010" s="160"/>
      <c r="C1010" s="160"/>
      <c r="D1010" s="160"/>
      <c r="E1010" s="161"/>
      <c r="F1010" s="160"/>
      <c r="G1010" s="162"/>
      <c r="H1010" s="162"/>
      <c r="I1010" s="170" t="s">
        <v>1193</v>
      </c>
      <c r="J1010" s="162"/>
      <c r="K1010" s="162"/>
      <c r="L1010" s="162"/>
      <c r="M1010" s="162"/>
      <c r="N1010" s="162"/>
      <c r="O1010" s="162"/>
      <c r="P1010" s="162"/>
      <c r="Q1010" s="162"/>
      <c r="R1010" s="25"/>
    </row>
    <row r="1011" spans="1:18" s="25" customFormat="1" x14ac:dyDescent="0.25">
      <c r="A1011" s="149"/>
      <c r="B1011" s="148"/>
      <c r="C1011" s="148"/>
      <c r="D1011" s="143" t="s">
        <v>905</v>
      </c>
      <c r="E1011" s="144" t="s">
        <v>906</v>
      </c>
      <c r="F1011" s="143" t="s">
        <v>1215</v>
      </c>
      <c r="G1011" s="146"/>
      <c r="H1011" s="146"/>
      <c r="I1011" s="146">
        <v>1</v>
      </c>
      <c r="J1011" s="146">
        <f>SUM(J1012:J1013)</f>
        <v>3</v>
      </c>
      <c r="K1011" s="146">
        <f>SUM(K1012:K1013)</f>
        <v>0.96</v>
      </c>
      <c r="L1011" s="146">
        <f>J1011+K1011</f>
        <v>3.96</v>
      </c>
      <c r="M1011" s="146">
        <f>I1011*J1011</f>
        <v>3</v>
      </c>
      <c r="N1011" s="146">
        <f>I1011*K1011</f>
        <v>0.96</v>
      </c>
      <c r="O1011" s="146">
        <f>M1011+N1011</f>
        <v>3.96</v>
      </c>
      <c r="P1011" s="146">
        <f>O1011*$P$1</f>
        <v>1.0161359999999999</v>
      </c>
      <c r="Q1011" s="146">
        <f>P1011+O1011</f>
        <v>4.9761360000000003</v>
      </c>
    </row>
    <row r="1012" spans="1:18" x14ac:dyDescent="0.25">
      <c r="A1012" s="133" t="s">
        <v>22</v>
      </c>
      <c r="B1012" s="89"/>
      <c r="C1012" s="89">
        <v>88247</v>
      </c>
      <c r="D1012" s="89"/>
      <c r="E1012" s="90" t="s">
        <v>599</v>
      </c>
      <c r="F1012" s="89" t="s">
        <v>29</v>
      </c>
      <c r="G1012" s="91">
        <v>0.05</v>
      </c>
      <c r="H1012" s="91">
        <f>H825</f>
        <v>19.100000000000001</v>
      </c>
      <c r="I1012" s="117" t="s">
        <v>1193</v>
      </c>
      <c r="J1012" s="91"/>
      <c r="K1012" s="91">
        <f>ROUND(G1012*H1012,2)</f>
        <v>0.96</v>
      </c>
      <c r="L1012" s="91"/>
      <c r="M1012" s="91"/>
      <c r="N1012" s="91"/>
      <c r="O1012" s="91"/>
      <c r="P1012" s="91"/>
      <c r="Q1012" s="91"/>
      <c r="R1012" s="25"/>
    </row>
    <row r="1013" spans="1:18" x14ac:dyDescent="0.25">
      <c r="A1013" s="135" t="s">
        <v>877</v>
      </c>
      <c r="B1013" s="191"/>
      <c r="C1013" s="191"/>
      <c r="D1013" s="191"/>
      <c r="E1013" s="192" t="str">
        <f>E1011</f>
        <v>Bloco para fixar  RJ 45 DT OU BLOCO CEGO  DT 99240.0 / 99200.00</v>
      </c>
      <c r="F1013" s="191" t="s">
        <v>1215</v>
      </c>
      <c r="G1013" s="193">
        <v>1</v>
      </c>
      <c r="H1013" s="341">
        <f>'MAPA COTAÇÕES ELÉTRICA'!L44</f>
        <v>3</v>
      </c>
      <c r="I1013" s="253" t="s">
        <v>1193</v>
      </c>
      <c r="J1013" s="193">
        <f>ROUND(H1013*G1013,2)</f>
        <v>3</v>
      </c>
      <c r="K1013" s="193"/>
      <c r="L1013" s="193"/>
      <c r="M1013" s="193"/>
      <c r="N1013" s="193"/>
      <c r="O1013" s="193"/>
      <c r="P1013" s="193"/>
      <c r="Q1013" s="193"/>
      <c r="R1013" s="25"/>
    </row>
    <row r="1014" spans="1:18" x14ac:dyDescent="0.25">
      <c r="A1014" s="159"/>
      <c r="B1014" s="160"/>
      <c r="C1014" s="160"/>
      <c r="D1014" s="160"/>
      <c r="E1014" s="161"/>
      <c r="F1014" s="160"/>
      <c r="G1014" s="162"/>
      <c r="H1014" s="162"/>
      <c r="I1014" s="170" t="s">
        <v>1193</v>
      </c>
      <c r="J1014" s="162"/>
      <c r="K1014" s="162"/>
      <c r="L1014" s="162"/>
      <c r="M1014" s="162"/>
      <c r="N1014" s="162"/>
      <c r="O1014" s="162"/>
      <c r="P1014" s="162"/>
      <c r="Q1014" s="162"/>
      <c r="R1014" s="25"/>
    </row>
    <row r="1015" spans="1:18" s="25" customFormat="1" x14ac:dyDescent="0.25">
      <c r="A1015" s="149"/>
      <c r="B1015" s="148"/>
      <c r="C1015" s="148"/>
      <c r="D1015" s="143" t="s">
        <v>907</v>
      </c>
      <c r="E1015" s="144" t="s">
        <v>908</v>
      </c>
      <c r="F1015" s="143" t="s">
        <v>1215</v>
      </c>
      <c r="G1015" s="146"/>
      <c r="H1015" s="146"/>
      <c r="I1015" s="146">
        <v>1</v>
      </c>
      <c r="J1015" s="146">
        <f>SUM(J1016:J1017)</f>
        <v>15.18</v>
      </c>
      <c r="K1015" s="146">
        <f>SUM(K1016:K1017)</f>
        <v>1.91</v>
      </c>
      <c r="L1015" s="146">
        <f>J1015+K1015</f>
        <v>17.09</v>
      </c>
      <c r="M1015" s="146">
        <f>I1015*J1015</f>
        <v>15.18</v>
      </c>
      <c r="N1015" s="146">
        <f>I1015*K1015</f>
        <v>1.91</v>
      </c>
      <c r="O1015" s="146">
        <f>M1015+N1015</f>
        <v>17.09</v>
      </c>
      <c r="P1015" s="146">
        <f>O1015*$P$1</f>
        <v>4.385294</v>
      </c>
      <c r="Q1015" s="146">
        <f>P1015+O1015</f>
        <v>21.475293999999998</v>
      </c>
    </row>
    <row r="1016" spans="1:18" x14ac:dyDescent="0.25">
      <c r="A1016" s="133" t="s">
        <v>22</v>
      </c>
      <c r="B1016" s="89"/>
      <c r="C1016" s="89">
        <v>88247</v>
      </c>
      <c r="D1016" s="89"/>
      <c r="E1016" s="90" t="s">
        <v>599</v>
      </c>
      <c r="F1016" s="89" t="s">
        <v>29</v>
      </c>
      <c r="G1016" s="91">
        <v>0.1</v>
      </c>
      <c r="H1016" s="91">
        <f>H825</f>
        <v>19.100000000000001</v>
      </c>
      <c r="I1016" s="117" t="s">
        <v>1193</v>
      </c>
      <c r="J1016" s="91"/>
      <c r="K1016" s="91">
        <f>ROUND(G1016*H1016,2)</f>
        <v>1.91</v>
      </c>
      <c r="L1016" s="91"/>
      <c r="M1016" s="91"/>
      <c r="N1016" s="91"/>
      <c r="O1016" s="91"/>
      <c r="P1016" s="91"/>
      <c r="Q1016" s="91"/>
      <c r="R1016" s="25"/>
    </row>
    <row r="1017" spans="1:18" x14ac:dyDescent="0.25">
      <c r="A1017" s="135" t="s">
        <v>877</v>
      </c>
      <c r="B1017" s="191"/>
      <c r="C1017" s="191"/>
      <c r="D1017" s="191"/>
      <c r="E1017" s="192" t="str">
        <f>E1015</f>
        <v>Porta equipamento p/ tres blocos ref.: DT 64444.10</v>
      </c>
      <c r="F1017" s="191" t="s">
        <v>1215</v>
      </c>
      <c r="G1017" s="193">
        <v>1</v>
      </c>
      <c r="H1017" s="341">
        <f>'MAPA COTAÇÕES ELÉTRICA'!L40</f>
        <v>15.18</v>
      </c>
      <c r="I1017" s="253" t="s">
        <v>1193</v>
      </c>
      <c r="J1017" s="193">
        <f>ROUND(H1017*G1017,2)</f>
        <v>15.18</v>
      </c>
      <c r="K1017" s="193"/>
      <c r="L1017" s="193"/>
      <c r="M1017" s="193"/>
      <c r="N1017" s="193"/>
      <c r="O1017" s="193"/>
      <c r="P1017" s="193"/>
      <c r="Q1017" s="193"/>
      <c r="R1017" s="25"/>
    </row>
    <row r="1018" spans="1:18" x14ac:dyDescent="0.25">
      <c r="A1018" s="159"/>
      <c r="B1018" s="160"/>
      <c r="C1018" s="160"/>
      <c r="D1018" s="160"/>
      <c r="E1018" s="161"/>
      <c r="F1018" s="160"/>
      <c r="G1018" s="162"/>
      <c r="H1018" s="162"/>
      <c r="I1018" s="170" t="s">
        <v>1193</v>
      </c>
      <c r="J1018" s="162"/>
      <c r="K1018" s="162"/>
      <c r="L1018" s="162"/>
      <c r="M1018" s="162"/>
      <c r="N1018" s="162"/>
      <c r="O1018" s="162"/>
      <c r="P1018" s="162"/>
      <c r="Q1018" s="162"/>
      <c r="R1018" s="25"/>
    </row>
    <row r="1019" spans="1:18" s="25" customFormat="1" x14ac:dyDescent="0.25">
      <c r="A1019" s="149"/>
      <c r="B1019" s="148"/>
      <c r="C1019" s="148"/>
      <c r="D1019" s="143" t="s">
        <v>909</v>
      </c>
      <c r="E1019" s="144" t="s">
        <v>910</v>
      </c>
      <c r="F1019" s="143" t="s">
        <v>1215</v>
      </c>
      <c r="G1019" s="146"/>
      <c r="H1019" s="146"/>
      <c r="I1019" s="146">
        <v>1</v>
      </c>
      <c r="J1019" s="146">
        <f>SUM(J1020:J1022)</f>
        <v>9.8699999999999992</v>
      </c>
      <c r="K1019" s="146">
        <f>SUM(K1020:K1022)</f>
        <v>4.38</v>
      </c>
      <c r="L1019" s="146">
        <f>J1019+K1019</f>
        <v>14.25</v>
      </c>
      <c r="M1019" s="146">
        <f>I1019*J1019</f>
        <v>9.8699999999999992</v>
      </c>
      <c r="N1019" s="146">
        <f>I1019*K1019</f>
        <v>4.38</v>
      </c>
      <c r="O1019" s="146">
        <f>M1019+N1019</f>
        <v>14.25</v>
      </c>
      <c r="P1019" s="146">
        <f>O1019*$P$1</f>
        <v>3.6565499999999997</v>
      </c>
      <c r="Q1019" s="146">
        <f>P1019+O1019</f>
        <v>17.906549999999999</v>
      </c>
    </row>
    <row r="1020" spans="1:18" x14ac:dyDescent="0.25">
      <c r="A1020" s="133" t="s">
        <v>22</v>
      </c>
      <c r="B1020" s="89"/>
      <c r="C1020" s="89">
        <v>88247</v>
      </c>
      <c r="D1020" s="89"/>
      <c r="E1020" s="90" t="s">
        <v>599</v>
      </c>
      <c r="F1020" s="89" t="s">
        <v>29</v>
      </c>
      <c r="G1020" s="91">
        <v>0.1</v>
      </c>
      <c r="H1020" s="91">
        <f>H825</f>
        <v>19.100000000000001</v>
      </c>
      <c r="I1020" s="117" t="s">
        <v>1193</v>
      </c>
      <c r="J1020" s="91"/>
      <c r="K1020" s="91">
        <f>ROUND(G1020*H1020,2)</f>
        <v>1.91</v>
      </c>
      <c r="L1020" s="91"/>
      <c r="M1020" s="91"/>
      <c r="N1020" s="91"/>
      <c r="O1020" s="91"/>
      <c r="P1020" s="91"/>
      <c r="Q1020" s="91"/>
      <c r="R1020" s="25"/>
    </row>
    <row r="1021" spans="1:18" x14ac:dyDescent="0.25">
      <c r="A1021" s="134" t="s">
        <v>22</v>
      </c>
      <c r="B1021" s="92"/>
      <c r="C1021" s="92">
        <v>88264</v>
      </c>
      <c r="D1021" s="92"/>
      <c r="E1021" s="93" t="s">
        <v>594</v>
      </c>
      <c r="F1021" s="92" t="s">
        <v>29</v>
      </c>
      <c r="G1021" s="94">
        <v>0.1</v>
      </c>
      <c r="H1021" s="94">
        <f>H826</f>
        <v>24.73</v>
      </c>
      <c r="I1021" s="116" t="s">
        <v>1193</v>
      </c>
      <c r="J1021" s="94"/>
      <c r="K1021" s="94">
        <f>ROUND(G1021*H1021,2)</f>
        <v>2.4700000000000002</v>
      </c>
      <c r="L1021" s="94"/>
      <c r="M1021" s="94"/>
      <c r="N1021" s="94"/>
      <c r="O1021" s="94"/>
      <c r="P1021" s="94"/>
      <c r="Q1021" s="94"/>
      <c r="R1021" s="25"/>
    </row>
    <row r="1022" spans="1:18" x14ac:dyDescent="0.25">
      <c r="A1022" s="252" t="s">
        <v>877</v>
      </c>
      <c r="B1022" s="89"/>
      <c r="C1022" s="89"/>
      <c r="D1022" s="89"/>
      <c r="E1022" s="90" t="str">
        <f>E1019</f>
        <v>Tomada 2P+T  NBR 14136- miolo branco 20A/250V - ref.: DT 99233.20</v>
      </c>
      <c r="F1022" s="89" t="s">
        <v>1215</v>
      </c>
      <c r="G1022" s="91">
        <v>1</v>
      </c>
      <c r="H1022" s="342">
        <f>'MAPA COTAÇÕES ELÉTRICA'!L41</f>
        <v>9.8666666666666671</v>
      </c>
      <c r="I1022" s="253" t="s">
        <v>1193</v>
      </c>
      <c r="J1022" s="193">
        <f>ROUND(H1022*G1022,2)</f>
        <v>9.8699999999999992</v>
      </c>
      <c r="K1022" s="193"/>
      <c r="L1022" s="193"/>
      <c r="M1022" s="193"/>
      <c r="N1022" s="193"/>
      <c r="O1022" s="193"/>
      <c r="P1022" s="193"/>
      <c r="Q1022" s="193"/>
      <c r="R1022" s="25"/>
    </row>
    <row r="1023" spans="1:18" x14ac:dyDescent="0.25">
      <c r="A1023" s="163"/>
      <c r="B1023" s="101"/>
      <c r="C1023" s="101"/>
      <c r="D1023" s="101"/>
      <c r="E1023" s="102"/>
      <c r="F1023" s="101"/>
      <c r="G1023" s="96"/>
      <c r="H1023" s="96"/>
      <c r="I1023" s="169" t="s">
        <v>1193</v>
      </c>
      <c r="J1023" s="96"/>
      <c r="K1023" s="96"/>
      <c r="L1023" s="96"/>
      <c r="M1023" s="96"/>
      <c r="N1023" s="96"/>
      <c r="O1023" s="96"/>
      <c r="P1023" s="96"/>
      <c r="Q1023" s="96"/>
      <c r="R1023" s="25"/>
    </row>
    <row r="1024" spans="1:18" s="25" customFormat="1" x14ac:dyDescent="0.25">
      <c r="A1024" s="149"/>
      <c r="B1024" s="148"/>
      <c r="C1024" s="148"/>
      <c r="D1024" s="143" t="s">
        <v>911</v>
      </c>
      <c r="E1024" s="144" t="s">
        <v>912</v>
      </c>
      <c r="F1024" s="143" t="s">
        <v>1215</v>
      </c>
      <c r="G1024" s="146"/>
      <c r="H1024" s="146"/>
      <c r="I1024" s="146">
        <v>1</v>
      </c>
      <c r="J1024" s="146">
        <f>SUM(J1025:J1027)</f>
        <v>10.16</v>
      </c>
      <c r="K1024" s="146">
        <f>SUM(K1025:K1027)</f>
        <v>4.38</v>
      </c>
      <c r="L1024" s="146">
        <f>J1024+K1024</f>
        <v>14.54</v>
      </c>
      <c r="M1024" s="146">
        <f>I1024*J1024</f>
        <v>10.16</v>
      </c>
      <c r="N1024" s="146">
        <f>I1024*K1024</f>
        <v>4.38</v>
      </c>
      <c r="O1024" s="146">
        <f>M1024+N1024</f>
        <v>14.54</v>
      </c>
      <c r="P1024" s="146">
        <f>O1024*$P$1</f>
        <v>3.7309639999999997</v>
      </c>
      <c r="Q1024" s="146">
        <f>P1024+O1024</f>
        <v>18.270963999999999</v>
      </c>
    </row>
    <row r="1025" spans="1:18" x14ac:dyDescent="0.25">
      <c r="A1025" s="134" t="s">
        <v>22</v>
      </c>
      <c r="B1025" s="92"/>
      <c r="C1025" s="92">
        <v>88247</v>
      </c>
      <c r="D1025" s="92"/>
      <c r="E1025" s="93" t="s">
        <v>599</v>
      </c>
      <c r="F1025" s="92" t="s">
        <v>29</v>
      </c>
      <c r="G1025" s="94">
        <v>0.1</v>
      </c>
      <c r="H1025" s="94">
        <f>H825</f>
        <v>19.100000000000001</v>
      </c>
      <c r="I1025" s="116" t="s">
        <v>1193</v>
      </c>
      <c r="J1025" s="94"/>
      <c r="K1025" s="94">
        <f>ROUND(G1025*H1025,2)</f>
        <v>1.91</v>
      </c>
      <c r="L1025" s="94"/>
      <c r="M1025" s="94"/>
      <c r="N1025" s="94"/>
      <c r="O1025" s="94"/>
      <c r="P1025" s="94"/>
      <c r="Q1025" s="94"/>
      <c r="R1025" s="25"/>
    </row>
    <row r="1026" spans="1:18" x14ac:dyDescent="0.25">
      <c r="A1026" s="133" t="s">
        <v>22</v>
      </c>
      <c r="B1026" s="89"/>
      <c r="C1026" s="89">
        <v>88264</v>
      </c>
      <c r="D1026" s="89"/>
      <c r="E1026" s="90" t="s">
        <v>594</v>
      </c>
      <c r="F1026" s="89" t="s">
        <v>29</v>
      </c>
      <c r="G1026" s="91">
        <v>0.1</v>
      </c>
      <c r="H1026" s="91">
        <f>H826</f>
        <v>24.73</v>
      </c>
      <c r="I1026" s="117" t="s">
        <v>1193</v>
      </c>
      <c r="J1026" s="91"/>
      <c r="K1026" s="91">
        <f>ROUND(G1026*H1026,2)</f>
        <v>2.4700000000000002</v>
      </c>
      <c r="L1026" s="91"/>
      <c r="M1026" s="91"/>
      <c r="N1026" s="91"/>
      <c r="O1026" s="91"/>
      <c r="P1026" s="91"/>
      <c r="Q1026" s="91"/>
      <c r="R1026" s="25"/>
    </row>
    <row r="1027" spans="1:18" x14ac:dyDescent="0.25">
      <c r="A1027" s="135" t="s">
        <v>877</v>
      </c>
      <c r="B1027" s="191"/>
      <c r="C1027" s="191"/>
      <c r="D1027" s="191"/>
      <c r="E1027" s="192" t="str">
        <f>E1024</f>
        <v>Tomada 2P+T  NBR 14136- miolo vermelho 20A/250V - ref.: DT 99231.10</v>
      </c>
      <c r="F1027" s="191" t="s">
        <v>1215</v>
      </c>
      <c r="G1027" s="193">
        <v>1</v>
      </c>
      <c r="H1027" s="341">
        <f>'MAPA COTAÇÕES ELÉTRICA'!L42</f>
        <v>10.156666666666668</v>
      </c>
      <c r="I1027" s="253" t="s">
        <v>1193</v>
      </c>
      <c r="J1027" s="193">
        <f>ROUND(H1027*G1027,2)</f>
        <v>10.16</v>
      </c>
      <c r="K1027" s="193"/>
      <c r="L1027" s="193"/>
      <c r="M1027" s="193"/>
      <c r="N1027" s="193"/>
      <c r="O1027" s="193"/>
      <c r="P1027" s="193"/>
      <c r="Q1027" s="193"/>
      <c r="R1027" s="25"/>
    </row>
    <row r="1028" spans="1:18" x14ac:dyDescent="0.25">
      <c r="A1028" s="159"/>
      <c r="B1028" s="160"/>
      <c r="C1028" s="160"/>
      <c r="D1028" s="160"/>
      <c r="E1028" s="161"/>
      <c r="F1028" s="160"/>
      <c r="G1028" s="162"/>
      <c r="H1028" s="162"/>
      <c r="I1028" s="170" t="s">
        <v>1193</v>
      </c>
      <c r="J1028" s="162"/>
      <c r="K1028" s="162"/>
      <c r="L1028" s="162"/>
      <c r="M1028" s="162"/>
      <c r="N1028" s="162"/>
      <c r="O1028" s="162"/>
      <c r="P1028" s="162"/>
      <c r="Q1028" s="162"/>
      <c r="R1028" s="25"/>
    </row>
    <row r="1029" spans="1:18" s="25" customFormat="1" ht="15.75" x14ac:dyDescent="0.25">
      <c r="A1029" s="136"/>
      <c r="B1029" s="97"/>
      <c r="C1029" s="97"/>
      <c r="D1029" s="97">
        <v>16</v>
      </c>
      <c r="E1029" s="98" t="s">
        <v>1158</v>
      </c>
      <c r="F1029" s="97"/>
      <c r="G1029" s="97"/>
      <c r="H1029" s="330"/>
      <c r="I1029" s="97" t="s">
        <v>1193</v>
      </c>
      <c r="J1029" s="330"/>
      <c r="K1029" s="330"/>
      <c r="L1029" s="330"/>
      <c r="M1029" s="330"/>
      <c r="N1029" s="330"/>
      <c r="O1029" s="330"/>
      <c r="P1029" s="330"/>
      <c r="Q1029" s="330">
        <f>SUM(Q1030:Q1135)</f>
        <v>695.21394999999995</v>
      </c>
    </row>
    <row r="1030" spans="1:18" x14ac:dyDescent="0.25">
      <c r="A1030" s="159"/>
      <c r="B1030" s="160"/>
      <c r="C1030" s="160"/>
      <c r="D1030" s="160"/>
      <c r="E1030" s="161"/>
      <c r="F1030" s="160"/>
      <c r="G1030" s="162"/>
      <c r="H1030" s="162"/>
      <c r="I1030" s="170" t="s">
        <v>1193</v>
      </c>
      <c r="J1030" s="162"/>
      <c r="K1030" s="162"/>
      <c r="L1030" s="162"/>
      <c r="M1030" s="162"/>
      <c r="N1030" s="162"/>
      <c r="O1030" s="162"/>
      <c r="P1030" s="162"/>
      <c r="Q1030" s="162"/>
      <c r="R1030" s="25"/>
    </row>
    <row r="1031" spans="1:18" s="25" customFormat="1" ht="75" x14ac:dyDescent="0.25">
      <c r="A1031" s="149" t="s">
        <v>22</v>
      </c>
      <c r="B1031" s="148"/>
      <c r="C1031" s="148">
        <v>97597</v>
      </c>
      <c r="D1031" s="143" t="s">
        <v>913</v>
      </c>
      <c r="E1031" s="144" t="s">
        <v>914</v>
      </c>
      <c r="F1031" s="143" t="s">
        <v>1215</v>
      </c>
      <c r="G1031" s="146"/>
      <c r="H1031" s="146"/>
      <c r="I1031" s="146">
        <v>1</v>
      </c>
      <c r="J1031" s="146">
        <f>SUM(J1032:J1034)</f>
        <v>28.85</v>
      </c>
      <c r="K1031" s="146">
        <f>SUM(K1032:K1034)</f>
        <v>12.28</v>
      </c>
      <c r="L1031" s="146">
        <f>J1031+K1031</f>
        <v>41.13</v>
      </c>
      <c r="M1031" s="146">
        <f>I1031*J1031</f>
        <v>28.85</v>
      </c>
      <c r="N1031" s="146">
        <f>I1031*K1031</f>
        <v>12.28</v>
      </c>
      <c r="O1031" s="146">
        <f>M1031+N1031</f>
        <v>41.13</v>
      </c>
      <c r="P1031" s="146">
        <f>O1031*$P$1</f>
        <v>10.553958</v>
      </c>
      <c r="Q1031" s="146">
        <f>P1031+O1031</f>
        <v>51.683958000000004</v>
      </c>
    </row>
    <row r="1032" spans="1:18" x14ac:dyDescent="0.25">
      <c r="A1032" s="133" t="s">
        <v>22</v>
      </c>
      <c r="B1032" s="89"/>
      <c r="C1032" s="89">
        <v>88247</v>
      </c>
      <c r="D1032" s="89"/>
      <c r="E1032" s="90" t="s">
        <v>599</v>
      </c>
      <c r="F1032" s="89" t="s">
        <v>29</v>
      </c>
      <c r="G1032" s="109">
        <v>0.15659999999999999</v>
      </c>
      <c r="H1032" s="91">
        <f>H825</f>
        <v>19.100000000000001</v>
      </c>
      <c r="I1032" s="117" t="s">
        <v>1193</v>
      </c>
      <c r="J1032" s="91"/>
      <c r="K1032" s="91">
        <f>ROUND(G1032*H1032,2)</f>
        <v>2.99</v>
      </c>
      <c r="L1032" s="91"/>
      <c r="M1032" s="91"/>
      <c r="N1032" s="91"/>
      <c r="O1032" s="91"/>
      <c r="P1032" s="91"/>
      <c r="Q1032" s="91"/>
      <c r="R1032" s="25"/>
    </row>
    <row r="1033" spans="1:18" x14ac:dyDescent="0.25">
      <c r="A1033" s="134" t="s">
        <v>22</v>
      </c>
      <c r="B1033" s="92"/>
      <c r="C1033" s="92">
        <v>88264</v>
      </c>
      <c r="D1033" s="92"/>
      <c r="E1033" s="93" t="s">
        <v>594</v>
      </c>
      <c r="F1033" s="92" t="s">
        <v>29</v>
      </c>
      <c r="G1033" s="108">
        <v>0.37580000000000002</v>
      </c>
      <c r="H1033" s="94">
        <f>H826</f>
        <v>24.73</v>
      </c>
      <c r="I1033" s="116" t="s">
        <v>1193</v>
      </c>
      <c r="J1033" s="94"/>
      <c r="K1033" s="94">
        <f>ROUND(G1033*H1033,2)</f>
        <v>9.2899999999999991</v>
      </c>
      <c r="L1033" s="94"/>
      <c r="M1033" s="94"/>
      <c r="N1033" s="94"/>
      <c r="O1033" s="94"/>
      <c r="P1033" s="94"/>
      <c r="Q1033" s="94"/>
      <c r="R1033" s="25"/>
    </row>
    <row r="1034" spans="1:18" ht="75" x14ac:dyDescent="0.25">
      <c r="A1034" s="133" t="s">
        <v>22</v>
      </c>
      <c r="B1034" s="89"/>
      <c r="C1034" s="89">
        <v>39394</v>
      </c>
      <c r="D1034" s="89"/>
      <c r="E1034" s="100" t="str">
        <f>E1031</f>
        <v>Sensor de presença de teto, de parede ou embutir ou teto, 127V, 60 Hz, 600 W, ângulo de abertura 360º x 115º (ou mais), jumper para temporização com opções de 1 a 20 minutos, jumper de função fotoelétrica, com fusível de proteção, alcance médio de 5,0 metros, garantia do fabricante de 2 anos (ref. Sensor Light High Performance SLMT-04, ECP LS-360TS ou similar)</v>
      </c>
      <c r="F1034" s="89" t="s">
        <v>1215</v>
      </c>
      <c r="G1034" s="91">
        <v>1</v>
      </c>
      <c r="H1034" s="91">
        <v>28.85</v>
      </c>
      <c r="I1034" s="117" t="s">
        <v>1193</v>
      </c>
      <c r="J1034" s="91">
        <f>ROUND(H1034*G1034,2)</f>
        <v>28.85</v>
      </c>
      <c r="K1034" s="91"/>
      <c r="L1034" s="91"/>
      <c r="M1034" s="91"/>
      <c r="N1034" s="91"/>
      <c r="O1034" s="91"/>
      <c r="P1034" s="91"/>
      <c r="Q1034" s="91"/>
      <c r="R1034" s="25"/>
    </row>
    <row r="1035" spans="1:18" x14ac:dyDescent="0.25">
      <c r="A1035" s="163"/>
      <c r="B1035" s="101"/>
      <c r="C1035" s="101"/>
      <c r="D1035" s="101"/>
      <c r="E1035" s="102"/>
      <c r="F1035" s="101"/>
      <c r="G1035" s="96"/>
      <c r="H1035" s="96"/>
      <c r="I1035" s="169" t="s">
        <v>1193</v>
      </c>
      <c r="J1035" s="96"/>
      <c r="K1035" s="96"/>
      <c r="L1035" s="96"/>
      <c r="M1035" s="96"/>
      <c r="N1035" s="96"/>
      <c r="O1035" s="96"/>
      <c r="P1035" s="96"/>
      <c r="Q1035" s="96"/>
      <c r="R1035" s="25"/>
    </row>
    <row r="1036" spans="1:18" s="25" customFormat="1" x14ac:dyDescent="0.25">
      <c r="A1036" s="149"/>
      <c r="B1036" s="148"/>
      <c r="C1036" s="148"/>
      <c r="D1036" s="143" t="s">
        <v>915</v>
      </c>
      <c r="E1036" s="144" t="s">
        <v>916</v>
      </c>
      <c r="F1036" s="143" t="s">
        <v>1215</v>
      </c>
      <c r="G1036" s="146"/>
      <c r="H1036" s="146"/>
      <c r="I1036" s="146">
        <v>1</v>
      </c>
      <c r="J1036" s="146">
        <f>SUM(J1037:J1040)</f>
        <v>31.1</v>
      </c>
      <c r="K1036" s="146">
        <f>SUM(K1037:K1040)</f>
        <v>30.68</v>
      </c>
      <c r="L1036" s="146">
        <f>J1036+K1036</f>
        <v>61.78</v>
      </c>
      <c r="M1036" s="146">
        <f>I1036*J1036</f>
        <v>31.1</v>
      </c>
      <c r="N1036" s="146">
        <f>I1036*K1036</f>
        <v>30.68</v>
      </c>
      <c r="O1036" s="146">
        <f>M1036+N1036</f>
        <v>61.78</v>
      </c>
      <c r="P1036" s="146">
        <f>O1036*$P$1</f>
        <v>15.852748</v>
      </c>
      <c r="Q1036" s="146">
        <f>P1036+O1036</f>
        <v>77.632748000000007</v>
      </c>
    </row>
    <row r="1037" spans="1:18" x14ac:dyDescent="0.25">
      <c r="A1037" s="134" t="s">
        <v>22</v>
      </c>
      <c r="B1037" s="92"/>
      <c r="C1037" s="92">
        <v>88247</v>
      </c>
      <c r="D1037" s="92"/>
      <c r="E1037" s="93" t="s">
        <v>599</v>
      </c>
      <c r="F1037" s="92" t="s">
        <v>29</v>
      </c>
      <c r="G1037" s="94">
        <v>0.7</v>
      </c>
      <c r="H1037" s="94">
        <f>H825</f>
        <v>19.100000000000001</v>
      </c>
      <c r="I1037" s="116" t="s">
        <v>1193</v>
      </c>
      <c r="J1037" s="94"/>
      <c r="K1037" s="94">
        <f>ROUND(G1037*H1037,2)</f>
        <v>13.37</v>
      </c>
      <c r="L1037" s="94"/>
      <c r="M1037" s="94"/>
      <c r="N1037" s="94"/>
      <c r="O1037" s="94"/>
      <c r="P1037" s="94"/>
      <c r="Q1037" s="94"/>
      <c r="R1037" s="25"/>
    </row>
    <row r="1038" spans="1:18" x14ac:dyDescent="0.25">
      <c r="A1038" s="133" t="s">
        <v>22</v>
      </c>
      <c r="B1038" s="89"/>
      <c r="C1038" s="89">
        <v>88264</v>
      </c>
      <c r="D1038" s="89"/>
      <c r="E1038" s="90" t="s">
        <v>594</v>
      </c>
      <c r="F1038" s="89" t="s">
        <v>29</v>
      </c>
      <c r="G1038" s="91">
        <v>0.7</v>
      </c>
      <c r="H1038" s="91">
        <f>H826</f>
        <v>24.73</v>
      </c>
      <c r="I1038" s="117" t="s">
        <v>1193</v>
      </c>
      <c r="J1038" s="91"/>
      <c r="K1038" s="91">
        <f>ROUND(G1038*H1038,2)</f>
        <v>17.309999999999999</v>
      </c>
      <c r="L1038" s="91"/>
      <c r="M1038" s="91"/>
      <c r="N1038" s="91"/>
      <c r="O1038" s="91"/>
      <c r="P1038" s="91"/>
      <c r="Q1038" s="91"/>
      <c r="R1038" s="25"/>
    </row>
    <row r="1039" spans="1:18" x14ac:dyDescent="0.25">
      <c r="A1039" s="134" t="s">
        <v>22</v>
      </c>
      <c r="B1039" s="92"/>
      <c r="C1039" s="92">
        <v>39380</v>
      </c>
      <c r="D1039" s="92"/>
      <c r="E1039" s="93" t="s">
        <v>917</v>
      </c>
      <c r="F1039" s="92" t="s">
        <v>1215</v>
      </c>
      <c r="G1039" s="94">
        <v>1.1499999999999999</v>
      </c>
      <c r="H1039" s="94">
        <v>10.73</v>
      </c>
      <c r="I1039" s="116" t="s">
        <v>1193</v>
      </c>
      <c r="J1039" s="94">
        <f>ROUND(H1039*G1039,2)</f>
        <v>12.34</v>
      </c>
      <c r="K1039" s="94"/>
      <c r="L1039" s="94"/>
      <c r="M1039" s="94"/>
      <c r="N1039" s="94"/>
      <c r="O1039" s="94"/>
      <c r="P1039" s="94"/>
      <c r="Q1039" s="94"/>
      <c r="R1039" s="25"/>
    </row>
    <row r="1040" spans="1:18" x14ac:dyDescent="0.25">
      <c r="A1040" s="133" t="s">
        <v>22</v>
      </c>
      <c r="B1040" s="89"/>
      <c r="C1040" s="89">
        <v>2510</v>
      </c>
      <c r="D1040" s="89"/>
      <c r="E1040" s="90" t="s">
        <v>918</v>
      </c>
      <c r="F1040" s="89" t="s">
        <v>1215</v>
      </c>
      <c r="G1040" s="91">
        <v>1</v>
      </c>
      <c r="H1040" s="91">
        <v>18.760000000000002</v>
      </c>
      <c r="I1040" s="117" t="s">
        <v>1193</v>
      </c>
      <c r="J1040" s="91">
        <f>ROUND(H1040*G1040,2)</f>
        <v>18.760000000000002</v>
      </c>
      <c r="K1040" s="91"/>
      <c r="L1040" s="91"/>
      <c r="M1040" s="91"/>
      <c r="N1040" s="91"/>
      <c r="O1040" s="91"/>
      <c r="P1040" s="91"/>
      <c r="Q1040" s="91"/>
      <c r="R1040" s="25"/>
    </row>
    <row r="1041" spans="1:18" x14ac:dyDescent="0.25">
      <c r="A1041" s="163"/>
      <c r="B1041" s="101"/>
      <c r="C1041" s="101"/>
      <c r="D1041" s="101"/>
      <c r="E1041" s="102"/>
      <c r="F1041" s="101"/>
      <c r="G1041" s="96"/>
      <c r="H1041" s="96"/>
      <c r="I1041" s="169" t="s">
        <v>1193</v>
      </c>
      <c r="J1041" s="96"/>
      <c r="K1041" s="96"/>
      <c r="L1041" s="96"/>
      <c r="M1041" s="96"/>
      <c r="N1041" s="96"/>
      <c r="O1041" s="96"/>
      <c r="P1041" s="96"/>
      <c r="Q1041" s="96"/>
      <c r="R1041" s="25"/>
    </row>
    <row r="1042" spans="1:18" s="25" customFormat="1" ht="30" x14ac:dyDescent="0.25">
      <c r="A1042" s="149"/>
      <c r="B1042" s="148"/>
      <c r="C1042" s="148"/>
      <c r="D1042" s="143" t="s">
        <v>919</v>
      </c>
      <c r="E1042" s="144" t="s">
        <v>920</v>
      </c>
      <c r="F1042" s="143" t="s">
        <v>1215</v>
      </c>
      <c r="G1042" s="146"/>
      <c r="H1042" s="146"/>
      <c r="I1042" s="146">
        <v>1</v>
      </c>
      <c r="J1042" s="146">
        <f>SUM(J1043:J1046)</f>
        <v>10.52</v>
      </c>
      <c r="K1042" s="146">
        <f>SUM(K1043:K1046)</f>
        <v>9.1999999999999993</v>
      </c>
      <c r="L1042" s="146">
        <f>J1042+K1042</f>
        <v>19.72</v>
      </c>
      <c r="M1042" s="146">
        <f>I1042*J1042</f>
        <v>10.52</v>
      </c>
      <c r="N1042" s="146">
        <f>I1042*K1042</f>
        <v>9.1999999999999993</v>
      </c>
      <c r="O1042" s="146">
        <f>M1042+N1042</f>
        <v>19.72</v>
      </c>
      <c r="P1042" s="146">
        <f>O1042*$P$1</f>
        <v>5.0601519999999995</v>
      </c>
      <c r="Q1042" s="146">
        <f>P1042+O1042</f>
        <v>24.780151999999998</v>
      </c>
    </row>
    <row r="1043" spans="1:18" x14ac:dyDescent="0.25">
      <c r="A1043" s="134" t="s">
        <v>22</v>
      </c>
      <c r="B1043" s="92"/>
      <c r="C1043" s="92">
        <v>88247</v>
      </c>
      <c r="D1043" s="92"/>
      <c r="E1043" s="93" t="s">
        <v>599</v>
      </c>
      <c r="F1043" s="92" t="s">
        <v>29</v>
      </c>
      <c r="G1043" s="103">
        <v>0.21</v>
      </c>
      <c r="H1043" s="94">
        <f>H825</f>
        <v>19.100000000000001</v>
      </c>
      <c r="I1043" s="116" t="s">
        <v>1193</v>
      </c>
      <c r="J1043" s="94"/>
      <c r="K1043" s="94">
        <f>ROUND(G1043*H1043,2)</f>
        <v>4.01</v>
      </c>
      <c r="L1043" s="94"/>
      <c r="M1043" s="94"/>
      <c r="N1043" s="94"/>
      <c r="O1043" s="94"/>
      <c r="P1043" s="94"/>
      <c r="Q1043" s="94"/>
      <c r="R1043" s="25"/>
    </row>
    <row r="1044" spans="1:18" x14ac:dyDescent="0.25">
      <c r="A1044" s="133" t="s">
        <v>22</v>
      </c>
      <c r="B1044" s="89"/>
      <c r="C1044" s="89">
        <v>88264</v>
      </c>
      <c r="D1044" s="89"/>
      <c r="E1044" s="90" t="s">
        <v>594</v>
      </c>
      <c r="F1044" s="89" t="s">
        <v>29</v>
      </c>
      <c r="G1044" s="106">
        <v>0.21</v>
      </c>
      <c r="H1044" s="91">
        <f>H826</f>
        <v>24.73</v>
      </c>
      <c r="I1044" s="117" t="s">
        <v>1193</v>
      </c>
      <c r="J1044" s="91"/>
      <c r="K1044" s="91">
        <f>ROUND(G1044*H1044,2)</f>
        <v>5.19</v>
      </c>
      <c r="L1044" s="91"/>
      <c r="M1044" s="91"/>
      <c r="N1044" s="91"/>
      <c r="O1044" s="91"/>
      <c r="P1044" s="91"/>
      <c r="Q1044" s="91"/>
      <c r="R1044" s="25"/>
    </row>
    <row r="1045" spans="1:18" ht="30" x14ac:dyDescent="0.25">
      <c r="A1045" s="252" t="s">
        <v>877</v>
      </c>
      <c r="B1045" s="89"/>
      <c r="C1045" s="89"/>
      <c r="D1045" s="89"/>
      <c r="E1045" s="100" t="s">
        <v>921</v>
      </c>
      <c r="F1045" s="89" t="s">
        <v>1215</v>
      </c>
      <c r="G1045" s="91">
        <v>1</v>
      </c>
      <c r="H1045" s="342">
        <f>'MAPA COTAÇÕES ELÉTRICA'!L7</f>
        <v>4.41</v>
      </c>
      <c r="I1045" s="253" t="s">
        <v>1193</v>
      </c>
      <c r="J1045" s="193">
        <f>ROUND(H1045*G1045,2)</f>
        <v>4.41</v>
      </c>
      <c r="K1045" s="193"/>
      <c r="L1045" s="193"/>
      <c r="M1045" s="193"/>
      <c r="N1045" s="193"/>
      <c r="O1045" s="193"/>
      <c r="P1045" s="193"/>
      <c r="Q1045" s="193"/>
      <c r="R1045" s="25"/>
    </row>
    <row r="1046" spans="1:18" ht="30" x14ac:dyDescent="0.25">
      <c r="A1046" s="252" t="s">
        <v>877</v>
      </c>
      <c r="B1046" s="89"/>
      <c r="C1046" s="89"/>
      <c r="D1046" s="89"/>
      <c r="E1046" s="100" t="s">
        <v>922</v>
      </c>
      <c r="F1046" s="89" t="s">
        <v>1215</v>
      </c>
      <c r="G1046" s="91">
        <v>1</v>
      </c>
      <c r="H1046" s="342">
        <f>'MAPA COTAÇÕES ELÉTRICA'!L14</f>
        <v>6.11</v>
      </c>
      <c r="I1046" s="253" t="s">
        <v>1193</v>
      </c>
      <c r="J1046" s="193">
        <f>ROUND(H1046*G1046,2)</f>
        <v>6.11</v>
      </c>
      <c r="K1046" s="193"/>
      <c r="L1046" s="193"/>
      <c r="M1046" s="193"/>
      <c r="N1046" s="193"/>
      <c r="O1046" s="193"/>
      <c r="P1046" s="193"/>
      <c r="Q1046" s="193"/>
      <c r="R1046" s="25"/>
    </row>
    <row r="1047" spans="1:18" x14ac:dyDescent="0.25">
      <c r="A1047" s="163"/>
      <c r="B1047" s="101"/>
      <c r="C1047" s="101"/>
      <c r="D1047" s="101"/>
      <c r="E1047" s="102"/>
      <c r="F1047" s="101"/>
      <c r="G1047" s="96"/>
      <c r="H1047" s="96"/>
      <c r="I1047" s="169" t="s">
        <v>1193</v>
      </c>
      <c r="J1047" s="96"/>
      <c r="K1047" s="96"/>
      <c r="L1047" s="96"/>
      <c r="M1047" s="96"/>
      <c r="N1047" s="96"/>
      <c r="O1047" s="96"/>
      <c r="P1047" s="96"/>
      <c r="Q1047" s="96"/>
      <c r="R1047" s="25"/>
    </row>
    <row r="1048" spans="1:18" s="25" customFormat="1" ht="30" x14ac:dyDescent="0.25">
      <c r="A1048" s="149"/>
      <c r="B1048" s="148"/>
      <c r="C1048" s="148"/>
      <c r="D1048" s="143" t="s">
        <v>923</v>
      </c>
      <c r="E1048" s="144" t="s">
        <v>924</v>
      </c>
      <c r="F1048" s="143" t="s">
        <v>1215</v>
      </c>
      <c r="G1048" s="146"/>
      <c r="H1048" s="146"/>
      <c r="I1048" s="146">
        <v>1</v>
      </c>
      <c r="J1048" s="146">
        <f>SUM(J1049:J1052)</f>
        <v>16.630000000000003</v>
      </c>
      <c r="K1048" s="146">
        <f>SUM(K1049:K1052)</f>
        <v>16.22</v>
      </c>
      <c r="L1048" s="146">
        <f>J1048+K1048</f>
        <v>32.85</v>
      </c>
      <c r="M1048" s="146">
        <f>I1048*J1048</f>
        <v>16.630000000000003</v>
      </c>
      <c r="N1048" s="146">
        <f>I1048*K1048</f>
        <v>16.22</v>
      </c>
      <c r="O1048" s="146">
        <f>M1048+N1048</f>
        <v>32.85</v>
      </c>
      <c r="P1048" s="146">
        <f>O1048*$P$1</f>
        <v>8.429310000000001</v>
      </c>
      <c r="Q1048" s="146">
        <f>P1048+O1048</f>
        <v>41.279310000000002</v>
      </c>
    </row>
    <row r="1049" spans="1:18" x14ac:dyDescent="0.25">
      <c r="A1049" s="134" t="s">
        <v>22</v>
      </c>
      <c r="B1049" s="92"/>
      <c r="C1049" s="92">
        <v>88247</v>
      </c>
      <c r="D1049" s="92"/>
      <c r="E1049" s="93" t="s">
        <v>599</v>
      </c>
      <c r="F1049" s="92" t="s">
        <v>29</v>
      </c>
      <c r="G1049" s="94">
        <v>0.37</v>
      </c>
      <c r="H1049" s="94">
        <f>H825</f>
        <v>19.100000000000001</v>
      </c>
      <c r="I1049" s="116" t="s">
        <v>1193</v>
      </c>
      <c r="J1049" s="94"/>
      <c r="K1049" s="94">
        <f>ROUND(G1049*H1049,2)</f>
        <v>7.07</v>
      </c>
      <c r="L1049" s="94"/>
      <c r="M1049" s="94"/>
      <c r="N1049" s="94"/>
      <c r="O1049" s="94"/>
      <c r="P1049" s="94"/>
      <c r="Q1049" s="94"/>
      <c r="R1049" s="25"/>
    </row>
    <row r="1050" spans="1:18" x14ac:dyDescent="0.25">
      <c r="A1050" s="133" t="s">
        <v>22</v>
      </c>
      <c r="B1050" s="89"/>
      <c r="C1050" s="89">
        <v>88264</v>
      </c>
      <c r="D1050" s="89"/>
      <c r="E1050" s="90" t="s">
        <v>594</v>
      </c>
      <c r="F1050" s="89" t="s">
        <v>29</v>
      </c>
      <c r="G1050" s="91">
        <v>0.37</v>
      </c>
      <c r="H1050" s="91">
        <f>H826</f>
        <v>24.73</v>
      </c>
      <c r="I1050" s="117" t="s">
        <v>1193</v>
      </c>
      <c r="J1050" s="91"/>
      <c r="K1050" s="91">
        <f>ROUND(G1050*H1050,2)</f>
        <v>9.15</v>
      </c>
      <c r="L1050" s="91"/>
      <c r="M1050" s="91"/>
      <c r="N1050" s="91"/>
      <c r="O1050" s="91"/>
      <c r="P1050" s="91"/>
      <c r="Q1050" s="91"/>
      <c r="R1050" s="25"/>
    </row>
    <row r="1051" spans="1:18" ht="30" x14ac:dyDescent="0.25">
      <c r="A1051" s="252" t="s">
        <v>877</v>
      </c>
      <c r="B1051" s="89"/>
      <c r="C1051" s="89"/>
      <c r="D1051" s="89"/>
      <c r="E1051" s="100" t="s">
        <v>925</v>
      </c>
      <c r="F1051" s="89" t="s">
        <v>1215</v>
      </c>
      <c r="G1051" s="91">
        <v>1</v>
      </c>
      <c r="H1051" s="342">
        <f>'MAPA COTAÇÕES ELÉTRICA'!L7</f>
        <v>4.41</v>
      </c>
      <c r="I1051" s="253" t="s">
        <v>1193</v>
      </c>
      <c r="J1051" s="193">
        <f>ROUND(H1051*G1051,2)</f>
        <v>4.41</v>
      </c>
      <c r="K1051" s="193"/>
      <c r="L1051" s="193"/>
      <c r="M1051" s="193"/>
      <c r="N1051" s="193"/>
      <c r="O1051" s="193"/>
      <c r="P1051" s="193"/>
      <c r="Q1051" s="193"/>
      <c r="R1051" s="25"/>
    </row>
    <row r="1052" spans="1:18" ht="30" x14ac:dyDescent="0.25">
      <c r="A1052" s="252" t="s">
        <v>877</v>
      </c>
      <c r="B1052" s="89"/>
      <c r="C1052" s="89"/>
      <c r="D1052" s="89"/>
      <c r="E1052" s="100" t="s">
        <v>922</v>
      </c>
      <c r="F1052" s="89" t="s">
        <v>1215</v>
      </c>
      <c r="G1052" s="91">
        <v>2</v>
      </c>
      <c r="H1052" s="342">
        <f>'MAPA COTAÇÕES ELÉTRICA'!L14</f>
        <v>6.11</v>
      </c>
      <c r="I1052" s="253" t="s">
        <v>1193</v>
      </c>
      <c r="J1052" s="193">
        <f>ROUND(H1052*G1052,2)</f>
        <v>12.22</v>
      </c>
      <c r="K1052" s="193"/>
      <c r="L1052" s="193"/>
      <c r="M1052" s="193"/>
      <c r="N1052" s="193"/>
      <c r="O1052" s="193"/>
      <c r="P1052" s="193"/>
      <c r="Q1052" s="193"/>
      <c r="R1052" s="25"/>
    </row>
    <row r="1053" spans="1:18" x14ac:dyDescent="0.25">
      <c r="A1053" s="163"/>
      <c r="B1053" s="101"/>
      <c r="C1053" s="101"/>
      <c r="D1053" s="101"/>
      <c r="E1053" s="102"/>
      <c r="F1053" s="101"/>
      <c r="G1053" s="96"/>
      <c r="H1053" s="96"/>
      <c r="I1053" s="169" t="s">
        <v>1193</v>
      </c>
      <c r="J1053" s="96"/>
      <c r="K1053" s="96"/>
      <c r="L1053" s="96"/>
      <c r="M1053" s="96"/>
      <c r="N1053" s="96"/>
      <c r="O1053" s="96"/>
      <c r="P1053" s="96"/>
      <c r="Q1053" s="96"/>
      <c r="R1053" s="25"/>
    </row>
    <row r="1054" spans="1:18" s="25" customFormat="1" ht="30" x14ac:dyDescent="0.25">
      <c r="A1054" s="149"/>
      <c r="B1054" s="148"/>
      <c r="C1054" s="148"/>
      <c r="D1054" s="143" t="s">
        <v>926</v>
      </c>
      <c r="E1054" s="144" t="s">
        <v>927</v>
      </c>
      <c r="F1054" s="143" t="s">
        <v>1215</v>
      </c>
      <c r="G1054" s="146"/>
      <c r="H1054" s="146"/>
      <c r="I1054" s="146">
        <v>1</v>
      </c>
      <c r="J1054" s="146">
        <f>SUM(J1055:J1058)</f>
        <v>22.74</v>
      </c>
      <c r="K1054" s="146">
        <f>SUM(K1055:K1058)</f>
        <v>23.229999999999997</v>
      </c>
      <c r="L1054" s="146">
        <f>J1054+K1054</f>
        <v>45.97</v>
      </c>
      <c r="M1054" s="146">
        <f>I1054*J1054</f>
        <v>22.74</v>
      </c>
      <c r="N1054" s="146">
        <f>I1054*K1054</f>
        <v>23.229999999999997</v>
      </c>
      <c r="O1054" s="146">
        <f>M1054+N1054</f>
        <v>45.97</v>
      </c>
      <c r="P1054" s="146">
        <f>O1054*$P$1</f>
        <v>11.795902</v>
      </c>
      <c r="Q1054" s="146">
        <f>P1054+O1054</f>
        <v>57.765901999999997</v>
      </c>
    </row>
    <row r="1055" spans="1:18" x14ac:dyDescent="0.25">
      <c r="A1055" s="134" t="s">
        <v>22</v>
      </c>
      <c r="B1055" s="92"/>
      <c r="C1055" s="92">
        <v>88247</v>
      </c>
      <c r="D1055" s="92"/>
      <c r="E1055" s="93" t="s">
        <v>599</v>
      </c>
      <c r="F1055" s="92" t="s">
        <v>29</v>
      </c>
      <c r="G1055" s="94">
        <v>0.53</v>
      </c>
      <c r="H1055" s="94">
        <f>H825</f>
        <v>19.100000000000001</v>
      </c>
      <c r="I1055" s="116" t="s">
        <v>1193</v>
      </c>
      <c r="J1055" s="94"/>
      <c r="K1055" s="94">
        <f>ROUND(G1055*H1055,2)</f>
        <v>10.119999999999999</v>
      </c>
      <c r="L1055" s="94"/>
      <c r="M1055" s="94"/>
      <c r="N1055" s="94"/>
      <c r="O1055" s="94"/>
      <c r="P1055" s="94"/>
      <c r="Q1055" s="94"/>
      <c r="R1055" s="25"/>
    </row>
    <row r="1056" spans="1:18" x14ac:dyDescent="0.25">
      <c r="A1056" s="133" t="s">
        <v>22</v>
      </c>
      <c r="B1056" s="89"/>
      <c r="C1056" s="89">
        <v>88264</v>
      </c>
      <c r="D1056" s="89"/>
      <c r="E1056" s="90" t="s">
        <v>594</v>
      </c>
      <c r="F1056" s="89" t="s">
        <v>29</v>
      </c>
      <c r="G1056" s="91">
        <v>0.53</v>
      </c>
      <c r="H1056" s="91">
        <f>H826</f>
        <v>24.73</v>
      </c>
      <c r="I1056" s="117" t="s">
        <v>1193</v>
      </c>
      <c r="J1056" s="91"/>
      <c r="K1056" s="91">
        <f>ROUND(G1056*H1056,2)</f>
        <v>13.11</v>
      </c>
      <c r="L1056" s="91"/>
      <c r="M1056" s="91"/>
      <c r="N1056" s="91"/>
      <c r="O1056" s="91"/>
      <c r="P1056" s="91"/>
      <c r="Q1056" s="91"/>
      <c r="R1056" s="25"/>
    </row>
    <row r="1057" spans="1:18" ht="30" x14ac:dyDescent="0.25">
      <c r="A1057" s="135" t="s">
        <v>877</v>
      </c>
      <c r="B1057" s="191"/>
      <c r="C1057" s="191"/>
      <c r="D1057" s="191"/>
      <c r="E1057" s="194" t="s">
        <v>928</v>
      </c>
      <c r="F1057" s="191" t="s">
        <v>1215</v>
      </c>
      <c r="G1057" s="193">
        <v>1</v>
      </c>
      <c r="H1057" s="341">
        <f>'MAPA COTAÇÕES ELÉTRICA'!L7</f>
        <v>4.41</v>
      </c>
      <c r="I1057" s="253" t="s">
        <v>1193</v>
      </c>
      <c r="J1057" s="193">
        <f>ROUND(H1057*G1057,2)</f>
        <v>4.41</v>
      </c>
      <c r="K1057" s="193"/>
      <c r="L1057" s="193"/>
      <c r="M1057" s="193"/>
      <c r="N1057" s="193"/>
      <c r="O1057" s="193"/>
      <c r="P1057" s="193"/>
      <c r="Q1057" s="193"/>
      <c r="R1057" s="25"/>
    </row>
    <row r="1058" spans="1:18" ht="30" x14ac:dyDescent="0.25">
      <c r="A1058" s="252" t="s">
        <v>877</v>
      </c>
      <c r="B1058" s="89"/>
      <c r="C1058" s="120"/>
      <c r="D1058" s="89"/>
      <c r="E1058" s="100" t="s">
        <v>922</v>
      </c>
      <c r="F1058" s="89" t="s">
        <v>1215</v>
      </c>
      <c r="G1058" s="91">
        <v>3</v>
      </c>
      <c r="H1058" s="342">
        <f>'MAPA COTAÇÕES ELÉTRICA'!L14</f>
        <v>6.11</v>
      </c>
      <c r="I1058" s="253" t="s">
        <v>1193</v>
      </c>
      <c r="J1058" s="193">
        <f>ROUND(H1058*G1058,2)</f>
        <v>18.329999999999998</v>
      </c>
      <c r="K1058" s="193"/>
      <c r="L1058" s="193"/>
      <c r="M1058" s="193"/>
      <c r="N1058" s="193"/>
      <c r="O1058" s="193"/>
      <c r="P1058" s="193"/>
      <c r="Q1058" s="193"/>
      <c r="R1058" s="25"/>
    </row>
    <row r="1059" spans="1:18" x14ac:dyDescent="0.25">
      <c r="A1059" s="163"/>
      <c r="B1059" s="101"/>
      <c r="C1059" s="172"/>
      <c r="D1059" s="101"/>
      <c r="E1059" s="104"/>
      <c r="F1059" s="101"/>
      <c r="G1059" s="96"/>
      <c r="H1059" s="96"/>
      <c r="I1059" s="169" t="s">
        <v>1193</v>
      </c>
      <c r="J1059" s="96"/>
      <c r="K1059" s="96"/>
      <c r="L1059" s="96"/>
      <c r="M1059" s="96"/>
      <c r="N1059" s="96"/>
      <c r="O1059" s="96"/>
      <c r="P1059" s="96"/>
      <c r="Q1059" s="96"/>
      <c r="R1059" s="25"/>
    </row>
    <row r="1060" spans="1:18" s="25" customFormat="1" ht="30" x14ac:dyDescent="0.25">
      <c r="A1060" s="149"/>
      <c r="B1060" s="148"/>
      <c r="C1060" s="148"/>
      <c r="D1060" s="143" t="s">
        <v>929</v>
      </c>
      <c r="E1060" s="144" t="s">
        <v>930</v>
      </c>
      <c r="F1060" s="143" t="s">
        <v>1215</v>
      </c>
      <c r="G1060" s="146"/>
      <c r="H1060" s="146"/>
      <c r="I1060" s="146">
        <v>1</v>
      </c>
      <c r="J1060" s="146">
        <f>SUM(J1061:J1064)</f>
        <v>12.3</v>
      </c>
      <c r="K1060" s="146">
        <f>SUM(K1061:K1064)</f>
        <v>12.71</v>
      </c>
      <c r="L1060" s="146">
        <f>J1060+K1060</f>
        <v>25.01</v>
      </c>
      <c r="M1060" s="146">
        <f>I1060*J1060</f>
        <v>12.3</v>
      </c>
      <c r="N1060" s="146">
        <f>I1060*K1060</f>
        <v>12.71</v>
      </c>
      <c r="O1060" s="146">
        <f>M1060+N1060</f>
        <v>25.01</v>
      </c>
      <c r="P1060" s="146">
        <f>O1060*$P$1</f>
        <v>6.4175659999999999</v>
      </c>
      <c r="Q1060" s="146">
        <f>P1060+O1060</f>
        <v>31.427566000000002</v>
      </c>
    </row>
    <row r="1061" spans="1:18" x14ac:dyDescent="0.25">
      <c r="A1061" s="134" t="s">
        <v>22</v>
      </c>
      <c r="B1061" s="92"/>
      <c r="C1061" s="92">
        <v>88247</v>
      </c>
      <c r="D1061" s="92"/>
      <c r="E1061" s="93" t="s">
        <v>599</v>
      </c>
      <c r="F1061" s="92" t="s">
        <v>29</v>
      </c>
      <c r="G1061" s="94">
        <v>0.28999999999999998</v>
      </c>
      <c r="H1061" s="94">
        <f>H825</f>
        <v>19.100000000000001</v>
      </c>
      <c r="I1061" s="116" t="s">
        <v>1193</v>
      </c>
      <c r="J1061" s="94"/>
      <c r="K1061" s="94">
        <f>ROUND(G1061*H1061,2)</f>
        <v>5.54</v>
      </c>
      <c r="L1061" s="94"/>
      <c r="M1061" s="94"/>
      <c r="N1061" s="94"/>
      <c r="O1061" s="94"/>
      <c r="P1061" s="94"/>
      <c r="Q1061" s="94"/>
      <c r="R1061" s="25"/>
    </row>
    <row r="1062" spans="1:18" x14ac:dyDescent="0.25">
      <c r="A1062" s="133" t="s">
        <v>22</v>
      </c>
      <c r="B1062" s="89"/>
      <c r="C1062" s="89">
        <v>88264</v>
      </c>
      <c r="D1062" s="89"/>
      <c r="E1062" s="90" t="s">
        <v>594</v>
      </c>
      <c r="F1062" s="89" t="s">
        <v>29</v>
      </c>
      <c r="G1062" s="91">
        <v>0.28999999999999998</v>
      </c>
      <c r="H1062" s="91">
        <f>H826</f>
        <v>24.73</v>
      </c>
      <c r="I1062" s="117" t="s">
        <v>1193</v>
      </c>
      <c r="J1062" s="91"/>
      <c r="K1062" s="91">
        <f>ROUND(G1062*H1062,2)</f>
        <v>7.17</v>
      </c>
      <c r="L1062" s="91"/>
      <c r="M1062" s="91"/>
      <c r="N1062" s="91"/>
      <c r="O1062" s="91"/>
      <c r="P1062" s="91"/>
      <c r="Q1062" s="91"/>
      <c r="R1062" s="25"/>
    </row>
    <row r="1063" spans="1:18" ht="30" x14ac:dyDescent="0.25">
      <c r="A1063" s="252" t="s">
        <v>877</v>
      </c>
      <c r="B1063" s="89"/>
      <c r="C1063" s="89"/>
      <c r="D1063" s="89"/>
      <c r="E1063" s="100" t="s">
        <v>931</v>
      </c>
      <c r="F1063" s="89" t="s">
        <v>1215</v>
      </c>
      <c r="G1063" s="91">
        <v>1</v>
      </c>
      <c r="H1063" s="342">
        <f>'MAPA COTAÇÕES ELÉTRICA'!L7</f>
        <v>4.41</v>
      </c>
      <c r="I1063" s="253" t="s">
        <v>1193</v>
      </c>
      <c r="J1063" s="193">
        <f>ROUND(H1063*G1063,2)</f>
        <v>4.41</v>
      </c>
      <c r="K1063" s="193"/>
      <c r="L1063" s="193"/>
      <c r="M1063" s="193"/>
      <c r="N1063" s="193"/>
      <c r="O1063" s="193"/>
      <c r="P1063" s="193"/>
      <c r="Q1063" s="193"/>
      <c r="R1063" s="25"/>
    </row>
    <row r="1064" spans="1:18" ht="30" x14ac:dyDescent="0.25">
      <c r="A1064" s="252" t="s">
        <v>877</v>
      </c>
      <c r="B1064" s="89"/>
      <c r="C1064" s="120"/>
      <c r="D1064" s="89"/>
      <c r="E1064" s="100" t="s">
        <v>932</v>
      </c>
      <c r="F1064" s="89" t="s">
        <v>1215</v>
      </c>
      <c r="G1064" s="91">
        <v>1</v>
      </c>
      <c r="H1064" s="342">
        <f>'MAPA COTAÇÕES ELÉTRICA'!L13</f>
        <v>7.8900000000000006</v>
      </c>
      <c r="I1064" s="253" t="s">
        <v>1193</v>
      </c>
      <c r="J1064" s="193">
        <f>ROUND(H1064*G1064,2)</f>
        <v>7.89</v>
      </c>
      <c r="K1064" s="193"/>
      <c r="L1064" s="193"/>
      <c r="M1064" s="193"/>
      <c r="N1064" s="193"/>
      <c r="O1064" s="193"/>
      <c r="P1064" s="193"/>
      <c r="Q1064" s="193"/>
      <c r="R1064" s="25"/>
    </row>
    <row r="1065" spans="1:18" x14ac:dyDescent="0.25">
      <c r="A1065" s="163"/>
      <c r="B1065" s="101"/>
      <c r="C1065" s="172"/>
      <c r="D1065" s="101"/>
      <c r="E1065" s="104"/>
      <c r="F1065" s="101"/>
      <c r="G1065" s="96"/>
      <c r="H1065" s="96"/>
      <c r="I1065" s="169" t="s">
        <v>1193</v>
      </c>
      <c r="J1065" s="96"/>
      <c r="K1065" s="96"/>
      <c r="L1065" s="96"/>
      <c r="M1065" s="96"/>
      <c r="N1065" s="96"/>
      <c r="O1065" s="96"/>
      <c r="P1065" s="96"/>
      <c r="Q1065" s="96"/>
      <c r="R1065" s="25"/>
    </row>
    <row r="1066" spans="1:18" s="25" customFormat="1" ht="30" x14ac:dyDescent="0.25">
      <c r="A1066" s="149"/>
      <c r="B1066" s="148"/>
      <c r="C1066" s="148"/>
      <c r="D1066" s="143" t="s">
        <v>933</v>
      </c>
      <c r="E1066" s="144" t="s">
        <v>934</v>
      </c>
      <c r="F1066" s="143" t="s">
        <v>1215</v>
      </c>
      <c r="G1066" s="146"/>
      <c r="H1066" s="146"/>
      <c r="I1066" s="146">
        <v>1</v>
      </c>
      <c r="J1066" s="146">
        <f>SUM(J1067:J1070)</f>
        <v>20.189999999999998</v>
      </c>
      <c r="K1066" s="146">
        <f>SUM(K1067:K1070)</f>
        <v>23.229999999999997</v>
      </c>
      <c r="L1066" s="146">
        <f>J1066+K1066</f>
        <v>43.419999999999995</v>
      </c>
      <c r="M1066" s="146">
        <f>I1066*J1066</f>
        <v>20.189999999999998</v>
      </c>
      <c r="N1066" s="146">
        <f>I1066*K1066</f>
        <v>23.229999999999997</v>
      </c>
      <c r="O1066" s="146">
        <f>M1066+N1066</f>
        <v>43.419999999999995</v>
      </c>
      <c r="P1066" s="146">
        <f>O1066*$P$1</f>
        <v>11.141571999999998</v>
      </c>
      <c r="Q1066" s="146">
        <f>P1066+O1066</f>
        <v>54.561571999999991</v>
      </c>
    </row>
    <row r="1067" spans="1:18" x14ac:dyDescent="0.25">
      <c r="A1067" s="134" t="s">
        <v>22</v>
      </c>
      <c r="B1067" s="92"/>
      <c r="C1067" s="92">
        <v>88247</v>
      </c>
      <c r="D1067" s="92"/>
      <c r="E1067" s="93" t="s">
        <v>599</v>
      </c>
      <c r="F1067" s="92" t="s">
        <v>29</v>
      </c>
      <c r="G1067" s="94">
        <v>0.53</v>
      </c>
      <c r="H1067" s="94">
        <f>H825</f>
        <v>19.100000000000001</v>
      </c>
      <c r="I1067" s="116" t="s">
        <v>1193</v>
      </c>
      <c r="J1067" s="94"/>
      <c r="K1067" s="94">
        <f>ROUND(G1067*H1067,2)</f>
        <v>10.119999999999999</v>
      </c>
      <c r="L1067" s="94"/>
      <c r="M1067" s="94"/>
      <c r="N1067" s="94"/>
      <c r="O1067" s="94"/>
      <c r="P1067" s="94"/>
      <c r="Q1067" s="94"/>
      <c r="R1067" s="25"/>
    </row>
    <row r="1068" spans="1:18" x14ac:dyDescent="0.25">
      <c r="A1068" s="133" t="s">
        <v>22</v>
      </c>
      <c r="B1068" s="89"/>
      <c r="C1068" s="89">
        <v>88264</v>
      </c>
      <c r="D1068" s="89"/>
      <c r="E1068" s="90" t="s">
        <v>594</v>
      </c>
      <c r="F1068" s="89" t="s">
        <v>29</v>
      </c>
      <c r="G1068" s="91">
        <v>0.53</v>
      </c>
      <c r="H1068" s="91">
        <f>H826</f>
        <v>24.73</v>
      </c>
      <c r="I1068" s="117" t="s">
        <v>1193</v>
      </c>
      <c r="J1068" s="91"/>
      <c r="K1068" s="91">
        <f>ROUND(G1068*H1068,2)</f>
        <v>13.11</v>
      </c>
      <c r="L1068" s="91"/>
      <c r="M1068" s="91"/>
      <c r="N1068" s="91"/>
      <c r="O1068" s="91"/>
      <c r="P1068" s="91"/>
      <c r="Q1068" s="91"/>
      <c r="R1068" s="25"/>
    </row>
    <row r="1069" spans="1:18" ht="30" x14ac:dyDescent="0.25">
      <c r="A1069" s="252" t="s">
        <v>877</v>
      </c>
      <c r="B1069" s="89"/>
      <c r="C1069" s="89"/>
      <c r="D1069" s="89"/>
      <c r="E1069" s="100" t="s">
        <v>925</v>
      </c>
      <c r="F1069" s="89" t="s">
        <v>1215</v>
      </c>
      <c r="G1069" s="91">
        <v>1</v>
      </c>
      <c r="H1069" s="342">
        <f>'MAPA COTAÇÕES ELÉTRICA'!L7</f>
        <v>4.41</v>
      </c>
      <c r="I1069" s="253" t="s">
        <v>1193</v>
      </c>
      <c r="J1069" s="193">
        <f>ROUND(H1069*G1069,2)</f>
        <v>4.41</v>
      </c>
      <c r="K1069" s="193"/>
      <c r="L1069" s="193"/>
      <c r="M1069" s="193"/>
      <c r="N1069" s="193"/>
      <c r="O1069" s="193"/>
      <c r="P1069" s="193"/>
      <c r="Q1069" s="193"/>
      <c r="R1069" s="25"/>
    </row>
    <row r="1070" spans="1:18" ht="30" x14ac:dyDescent="0.25">
      <c r="A1070" s="252" t="s">
        <v>877</v>
      </c>
      <c r="B1070" s="89"/>
      <c r="C1070" s="120"/>
      <c r="D1070" s="89"/>
      <c r="E1070" s="100" t="s">
        <v>932</v>
      </c>
      <c r="F1070" s="89" t="s">
        <v>1215</v>
      </c>
      <c r="G1070" s="91">
        <v>2</v>
      </c>
      <c r="H1070" s="342">
        <f>'MAPA COTAÇÕES ELÉTRICA'!L13</f>
        <v>7.8900000000000006</v>
      </c>
      <c r="I1070" s="253" t="s">
        <v>1193</v>
      </c>
      <c r="J1070" s="193">
        <f>ROUND(H1070*G1070,2)</f>
        <v>15.78</v>
      </c>
      <c r="K1070" s="193"/>
      <c r="L1070" s="193"/>
      <c r="M1070" s="193"/>
      <c r="N1070" s="193"/>
      <c r="O1070" s="193"/>
      <c r="P1070" s="193"/>
      <c r="Q1070" s="193"/>
      <c r="R1070" s="25"/>
    </row>
    <row r="1071" spans="1:18" x14ac:dyDescent="0.25">
      <c r="A1071" s="163"/>
      <c r="B1071" s="101"/>
      <c r="C1071" s="172"/>
      <c r="D1071" s="101"/>
      <c r="E1071" s="104"/>
      <c r="F1071" s="101"/>
      <c r="G1071" s="96"/>
      <c r="H1071" s="96"/>
      <c r="I1071" s="169" t="s">
        <v>1193</v>
      </c>
      <c r="J1071" s="96"/>
      <c r="K1071" s="96"/>
      <c r="L1071" s="96"/>
      <c r="M1071" s="96"/>
      <c r="N1071" s="96"/>
      <c r="O1071" s="96"/>
      <c r="P1071" s="96"/>
      <c r="Q1071" s="96"/>
      <c r="R1071" s="25"/>
    </row>
    <row r="1072" spans="1:18" s="25" customFormat="1" ht="30" x14ac:dyDescent="0.25">
      <c r="A1072" s="149"/>
      <c r="B1072" s="148"/>
      <c r="C1072" s="148"/>
      <c r="D1072" s="143" t="s">
        <v>935</v>
      </c>
      <c r="E1072" s="144" t="s">
        <v>936</v>
      </c>
      <c r="F1072" s="143" t="s">
        <v>1215</v>
      </c>
      <c r="G1072" s="146"/>
      <c r="H1072" s="146"/>
      <c r="I1072" s="146">
        <v>1</v>
      </c>
      <c r="J1072" s="146">
        <f>SUM(J1073:J1077)</f>
        <v>31.69</v>
      </c>
      <c r="K1072" s="146">
        <f>SUM(K1073:K1077)</f>
        <v>33.75</v>
      </c>
      <c r="L1072" s="146">
        <f>J1072+K1072</f>
        <v>65.44</v>
      </c>
      <c r="M1072" s="146">
        <f>I1072*J1072</f>
        <v>31.69</v>
      </c>
      <c r="N1072" s="146">
        <f>I1072*K1072</f>
        <v>33.75</v>
      </c>
      <c r="O1072" s="146">
        <f>M1072+N1072</f>
        <v>65.44</v>
      </c>
      <c r="P1072" s="146">
        <f>O1072*$P$1</f>
        <v>16.791903999999999</v>
      </c>
      <c r="Q1072" s="146">
        <f>P1072+O1072</f>
        <v>82.231904</v>
      </c>
    </row>
    <row r="1073" spans="1:18" x14ac:dyDescent="0.25">
      <c r="A1073" s="134" t="s">
        <v>22</v>
      </c>
      <c r="B1073" s="92"/>
      <c r="C1073" s="92">
        <v>88247</v>
      </c>
      <c r="D1073" s="92"/>
      <c r="E1073" s="93" t="s">
        <v>599</v>
      </c>
      <c r="F1073" s="92" t="s">
        <v>29</v>
      </c>
      <c r="G1073" s="94">
        <v>0.77</v>
      </c>
      <c r="H1073" s="94">
        <f>H825</f>
        <v>19.100000000000001</v>
      </c>
      <c r="I1073" s="116" t="s">
        <v>1193</v>
      </c>
      <c r="J1073" s="94"/>
      <c r="K1073" s="94">
        <f>ROUND(G1073*H1073,2)</f>
        <v>14.71</v>
      </c>
      <c r="L1073" s="94"/>
      <c r="M1073" s="94"/>
      <c r="N1073" s="94"/>
      <c r="O1073" s="94"/>
      <c r="P1073" s="94"/>
      <c r="Q1073" s="94"/>
      <c r="R1073" s="25"/>
    </row>
    <row r="1074" spans="1:18" x14ac:dyDescent="0.25">
      <c r="A1074" s="133" t="s">
        <v>22</v>
      </c>
      <c r="B1074" s="89"/>
      <c r="C1074" s="89">
        <v>88264</v>
      </c>
      <c r="D1074" s="89"/>
      <c r="E1074" s="90" t="s">
        <v>594</v>
      </c>
      <c r="F1074" s="89" t="s">
        <v>29</v>
      </c>
      <c r="G1074" s="91">
        <v>0.77</v>
      </c>
      <c r="H1074" s="91">
        <f>H826</f>
        <v>24.73</v>
      </c>
      <c r="I1074" s="117" t="s">
        <v>1193</v>
      </c>
      <c r="J1074" s="91"/>
      <c r="K1074" s="91">
        <f>ROUND(G1074*H1074,2)</f>
        <v>19.04</v>
      </c>
      <c r="L1074" s="91"/>
      <c r="M1074" s="91"/>
      <c r="N1074" s="91"/>
      <c r="O1074" s="91"/>
      <c r="P1074" s="91"/>
      <c r="Q1074" s="91"/>
      <c r="R1074" s="25"/>
    </row>
    <row r="1075" spans="1:18" ht="30" x14ac:dyDescent="0.25">
      <c r="A1075" s="252" t="s">
        <v>877</v>
      </c>
      <c r="B1075" s="89"/>
      <c r="C1075" s="89"/>
      <c r="D1075" s="89"/>
      <c r="E1075" s="100" t="s">
        <v>937</v>
      </c>
      <c r="F1075" s="89" t="s">
        <v>1215</v>
      </c>
      <c r="G1075" s="91">
        <v>1</v>
      </c>
      <c r="H1075" s="342">
        <f>'MAPA COTAÇÕES ELÉTRICA'!L8</f>
        <v>6.7</v>
      </c>
      <c r="I1075" s="253" t="s">
        <v>1193</v>
      </c>
      <c r="J1075" s="193">
        <f>ROUND(H1075*G1075,2)</f>
        <v>6.7</v>
      </c>
      <c r="K1075" s="193"/>
      <c r="L1075" s="193"/>
      <c r="M1075" s="193"/>
      <c r="N1075" s="193"/>
      <c r="O1075" s="193"/>
      <c r="P1075" s="193"/>
      <c r="Q1075" s="193"/>
      <c r="R1075" s="25"/>
    </row>
    <row r="1076" spans="1:18" x14ac:dyDescent="0.25">
      <c r="A1076" s="252" t="s">
        <v>877</v>
      </c>
      <c r="B1076" s="89"/>
      <c r="C1076" s="89"/>
      <c r="D1076" s="89"/>
      <c r="E1076" s="100" t="s">
        <v>938</v>
      </c>
      <c r="F1076" s="89" t="s">
        <v>1215</v>
      </c>
      <c r="G1076" s="91">
        <v>1</v>
      </c>
      <c r="H1076" s="342">
        <f>'MAPA COTAÇÕES ELÉTRICA'!L15</f>
        <v>1.3166666666666667</v>
      </c>
      <c r="I1076" s="253" t="s">
        <v>1193</v>
      </c>
      <c r="J1076" s="193">
        <f>ROUND(H1076*G1076,2)</f>
        <v>1.32</v>
      </c>
      <c r="K1076" s="193"/>
      <c r="L1076" s="193"/>
      <c r="M1076" s="193"/>
      <c r="N1076" s="193"/>
      <c r="O1076" s="193"/>
      <c r="P1076" s="193"/>
      <c r="Q1076" s="193"/>
      <c r="R1076" s="25"/>
    </row>
    <row r="1077" spans="1:18" ht="30" x14ac:dyDescent="0.25">
      <c r="A1077" s="252" t="s">
        <v>877</v>
      </c>
      <c r="B1077" s="89"/>
      <c r="C1077" s="89"/>
      <c r="D1077" s="89"/>
      <c r="E1077" s="100" t="s">
        <v>932</v>
      </c>
      <c r="F1077" s="89" t="s">
        <v>1215</v>
      </c>
      <c r="G1077" s="91">
        <v>3</v>
      </c>
      <c r="H1077" s="342">
        <f>'MAPA COTAÇÕES ELÉTRICA'!L13</f>
        <v>7.8900000000000006</v>
      </c>
      <c r="I1077" s="253" t="s">
        <v>1193</v>
      </c>
      <c r="J1077" s="193">
        <f>ROUND(H1077*G1077,2)</f>
        <v>23.67</v>
      </c>
      <c r="K1077" s="193"/>
      <c r="L1077" s="193"/>
      <c r="M1077" s="193"/>
      <c r="N1077" s="193"/>
      <c r="O1077" s="193"/>
      <c r="P1077" s="193"/>
      <c r="Q1077" s="193"/>
      <c r="R1077" s="25"/>
    </row>
    <row r="1078" spans="1:18" x14ac:dyDescent="0.25">
      <c r="A1078" s="159"/>
      <c r="B1078" s="160"/>
      <c r="C1078" s="173"/>
      <c r="D1078" s="160"/>
      <c r="E1078" s="171"/>
      <c r="F1078" s="160"/>
      <c r="G1078" s="162"/>
      <c r="H1078" s="162"/>
      <c r="I1078" s="170" t="s">
        <v>1193</v>
      </c>
      <c r="J1078" s="162"/>
      <c r="K1078" s="162"/>
      <c r="L1078" s="162"/>
      <c r="M1078" s="162"/>
      <c r="N1078" s="162"/>
      <c r="O1078" s="162"/>
      <c r="P1078" s="162"/>
      <c r="Q1078" s="162"/>
      <c r="R1078" s="25"/>
    </row>
    <row r="1079" spans="1:18" s="25" customFormat="1" ht="30" x14ac:dyDescent="0.25">
      <c r="A1079" s="149"/>
      <c r="B1079" s="148"/>
      <c r="C1079" s="148"/>
      <c r="D1079" s="143" t="s">
        <v>939</v>
      </c>
      <c r="E1079" s="144" t="s">
        <v>940</v>
      </c>
      <c r="F1079" s="143" t="s">
        <v>1215</v>
      </c>
      <c r="G1079" s="146"/>
      <c r="H1079" s="146"/>
      <c r="I1079" s="146">
        <v>1</v>
      </c>
      <c r="J1079" s="146">
        <f>SUM(J1080:J1084)</f>
        <v>17.84</v>
      </c>
      <c r="K1079" s="146">
        <f>SUM(K1080:K1084)</f>
        <v>16.22</v>
      </c>
      <c r="L1079" s="146">
        <f>J1079+K1079</f>
        <v>34.06</v>
      </c>
      <c r="M1079" s="146">
        <f>I1079*J1079</f>
        <v>17.84</v>
      </c>
      <c r="N1079" s="146">
        <f>I1079*K1079</f>
        <v>16.22</v>
      </c>
      <c r="O1079" s="146">
        <f>M1079+N1079</f>
        <v>34.06</v>
      </c>
      <c r="P1079" s="146">
        <f>O1079*$P$1</f>
        <v>8.7397960000000001</v>
      </c>
      <c r="Q1079" s="146">
        <f>P1079+O1079</f>
        <v>42.799796000000001</v>
      </c>
    </row>
    <row r="1080" spans="1:18" x14ac:dyDescent="0.25">
      <c r="A1080" s="133" t="s">
        <v>22</v>
      </c>
      <c r="B1080" s="89"/>
      <c r="C1080" s="89">
        <v>88247</v>
      </c>
      <c r="D1080" s="89"/>
      <c r="E1080" s="90" t="s">
        <v>599</v>
      </c>
      <c r="F1080" s="89" t="s">
        <v>29</v>
      </c>
      <c r="G1080" s="91">
        <v>0.37</v>
      </c>
      <c r="H1080" s="91">
        <f>H825</f>
        <v>19.100000000000001</v>
      </c>
      <c r="I1080" s="117" t="s">
        <v>1193</v>
      </c>
      <c r="J1080" s="91"/>
      <c r="K1080" s="91">
        <f>ROUND(G1080*H1080,2)</f>
        <v>7.07</v>
      </c>
      <c r="L1080" s="91"/>
      <c r="M1080" s="91"/>
      <c r="N1080" s="91"/>
      <c r="O1080" s="91"/>
      <c r="P1080" s="91"/>
      <c r="Q1080" s="91"/>
      <c r="R1080" s="25"/>
    </row>
    <row r="1081" spans="1:18" x14ac:dyDescent="0.25">
      <c r="A1081" s="134" t="s">
        <v>22</v>
      </c>
      <c r="B1081" s="92"/>
      <c r="C1081" s="92">
        <v>88264</v>
      </c>
      <c r="D1081" s="92"/>
      <c r="E1081" s="93" t="s">
        <v>594</v>
      </c>
      <c r="F1081" s="92" t="s">
        <v>29</v>
      </c>
      <c r="G1081" s="94">
        <v>0.37</v>
      </c>
      <c r="H1081" s="94">
        <f>H826</f>
        <v>24.73</v>
      </c>
      <c r="I1081" s="116" t="s">
        <v>1193</v>
      </c>
      <c r="J1081" s="94"/>
      <c r="K1081" s="94">
        <f>ROUND(G1081*H1081,2)</f>
        <v>9.15</v>
      </c>
      <c r="L1081" s="94"/>
      <c r="M1081" s="94"/>
      <c r="N1081" s="94"/>
      <c r="O1081" s="94"/>
      <c r="P1081" s="94"/>
      <c r="Q1081" s="94"/>
      <c r="R1081" s="25"/>
    </row>
    <row r="1082" spans="1:18" ht="30" x14ac:dyDescent="0.25">
      <c r="A1082" s="252" t="s">
        <v>877</v>
      </c>
      <c r="B1082" s="89"/>
      <c r="C1082" s="89"/>
      <c r="D1082" s="89"/>
      <c r="E1082" s="100" t="s">
        <v>925</v>
      </c>
      <c r="F1082" s="89" t="s">
        <v>1215</v>
      </c>
      <c r="G1082" s="91">
        <v>1</v>
      </c>
      <c r="H1082" s="342">
        <f>'MAPA COTAÇÕES ELÉTRICA'!L7</f>
        <v>4.41</v>
      </c>
      <c r="I1082" s="253" t="s">
        <v>1193</v>
      </c>
      <c r="J1082" s="193">
        <f>ROUND(H1082*G1082,2)</f>
        <v>4.41</v>
      </c>
      <c r="K1082" s="193"/>
      <c r="L1082" s="193"/>
      <c r="M1082" s="193"/>
      <c r="N1082" s="193"/>
      <c r="O1082" s="193"/>
      <c r="P1082" s="193"/>
      <c r="Q1082" s="193"/>
      <c r="R1082" s="25"/>
    </row>
    <row r="1083" spans="1:18" ht="30" x14ac:dyDescent="0.25">
      <c r="A1083" s="252" t="s">
        <v>877</v>
      </c>
      <c r="B1083" s="89"/>
      <c r="C1083" s="89"/>
      <c r="D1083" s="89"/>
      <c r="E1083" s="100" t="s">
        <v>941</v>
      </c>
      <c r="F1083" s="89" t="s">
        <v>1215</v>
      </c>
      <c r="G1083" s="91">
        <v>1</v>
      </c>
      <c r="H1083" s="342">
        <f>'MAPA COTAÇÕES ELÉTRICA'!L10</f>
        <v>7.3233333333333333</v>
      </c>
      <c r="I1083" s="253" t="s">
        <v>1193</v>
      </c>
      <c r="J1083" s="193">
        <f>ROUND(H1083*G1083,2)</f>
        <v>7.32</v>
      </c>
      <c r="K1083" s="193"/>
      <c r="L1083" s="193"/>
      <c r="M1083" s="193"/>
      <c r="N1083" s="193"/>
      <c r="O1083" s="193"/>
      <c r="P1083" s="193"/>
      <c r="Q1083" s="193"/>
      <c r="R1083" s="25"/>
    </row>
    <row r="1084" spans="1:18" ht="30" x14ac:dyDescent="0.25">
      <c r="A1084" s="252" t="s">
        <v>877</v>
      </c>
      <c r="B1084" s="89"/>
      <c r="C1084" s="89"/>
      <c r="D1084" s="89"/>
      <c r="E1084" s="100" t="s">
        <v>932</v>
      </c>
      <c r="F1084" s="89" t="s">
        <v>1215</v>
      </c>
      <c r="G1084" s="91">
        <v>1</v>
      </c>
      <c r="H1084" s="342">
        <f>'MAPA COTAÇÕES ELÉTRICA'!L14</f>
        <v>6.11</v>
      </c>
      <c r="I1084" s="253" t="s">
        <v>1193</v>
      </c>
      <c r="J1084" s="193">
        <f>ROUND(H1084*G1084,2)</f>
        <v>6.11</v>
      </c>
      <c r="K1084" s="193"/>
      <c r="L1084" s="193"/>
      <c r="M1084" s="193"/>
      <c r="N1084" s="193"/>
      <c r="O1084" s="193"/>
      <c r="P1084" s="193"/>
      <c r="Q1084" s="193"/>
      <c r="R1084" s="25"/>
    </row>
    <row r="1085" spans="1:18" x14ac:dyDescent="0.25">
      <c r="A1085" s="163"/>
      <c r="B1085" s="101"/>
      <c r="C1085" s="172"/>
      <c r="D1085" s="101"/>
      <c r="E1085" s="104"/>
      <c r="F1085" s="101"/>
      <c r="G1085" s="96"/>
      <c r="H1085" s="96"/>
      <c r="I1085" s="169" t="s">
        <v>1193</v>
      </c>
      <c r="J1085" s="96"/>
      <c r="K1085" s="96"/>
      <c r="L1085" s="96"/>
      <c r="M1085" s="96"/>
      <c r="N1085" s="96"/>
      <c r="O1085" s="96"/>
      <c r="P1085" s="96"/>
      <c r="Q1085" s="96"/>
      <c r="R1085" s="25"/>
    </row>
    <row r="1086" spans="1:18" s="25" customFormat="1" ht="30" x14ac:dyDescent="0.25">
      <c r="A1086" s="149"/>
      <c r="B1086" s="148"/>
      <c r="C1086" s="148"/>
      <c r="D1086" s="143" t="s">
        <v>942</v>
      </c>
      <c r="E1086" s="144" t="s">
        <v>943</v>
      </c>
      <c r="F1086" s="143" t="s">
        <v>1215</v>
      </c>
      <c r="G1086" s="146"/>
      <c r="H1086" s="146"/>
      <c r="I1086" s="146">
        <v>1</v>
      </c>
      <c r="J1086" s="146">
        <f>SUM(J1087:J1090)</f>
        <v>11.73</v>
      </c>
      <c r="K1086" s="146">
        <f>SUM(K1087:K1090)</f>
        <v>12.71</v>
      </c>
      <c r="L1086" s="146">
        <f>J1086+K1086</f>
        <v>24.44</v>
      </c>
      <c r="M1086" s="146">
        <f>I1086*J1086</f>
        <v>11.73</v>
      </c>
      <c r="N1086" s="146">
        <f>I1086*K1086</f>
        <v>12.71</v>
      </c>
      <c r="O1086" s="146">
        <f>M1086+N1086</f>
        <v>24.44</v>
      </c>
      <c r="P1086" s="146">
        <f>O1086*$P$1</f>
        <v>6.2713039999999998</v>
      </c>
      <c r="Q1086" s="146">
        <f>P1086+O1086</f>
        <v>30.711304000000002</v>
      </c>
    </row>
    <row r="1087" spans="1:18" x14ac:dyDescent="0.25">
      <c r="A1087" s="134" t="s">
        <v>22</v>
      </c>
      <c r="B1087" s="92"/>
      <c r="C1087" s="92">
        <v>88247</v>
      </c>
      <c r="D1087" s="92"/>
      <c r="E1087" s="93" t="s">
        <v>599</v>
      </c>
      <c r="F1087" s="92" t="s">
        <v>29</v>
      </c>
      <c r="G1087" s="94">
        <v>0.28999999999999998</v>
      </c>
      <c r="H1087" s="94">
        <f>H825</f>
        <v>19.100000000000001</v>
      </c>
      <c r="I1087" s="116" t="s">
        <v>1193</v>
      </c>
      <c r="J1087" s="94"/>
      <c r="K1087" s="94">
        <f>ROUND(G1087*H1087,2)</f>
        <v>5.54</v>
      </c>
      <c r="L1087" s="94"/>
      <c r="M1087" s="94"/>
      <c r="N1087" s="94"/>
      <c r="O1087" s="94"/>
      <c r="P1087" s="94"/>
      <c r="Q1087" s="94"/>
      <c r="R1087" s="25"/>
    </row>
    <row r="1088" spans="1:18" x14ac:dyDescent="0.25">
      <c r="A1088" s="133" t="s">
        <v>22</v>
      </c>
      <c r="B1088" s="89"/>
      <c r="C1088" s="89">
        <v>88264</v>
      </c>
      <c r="D1088" s="89"/>
      <c r="E1088" s="90" t="s">
        <v>594</v>
      </c>
      <c r="F1088" s="89" t="s">
        <v>29</v>
      </c>
      <c r="G1088" s="91">
        <v>0.28999999999999998</v>
      </c>
      <c r="H1088" s="91">
        <f>H826</f>
        <v>24.73</v>
      </c>
      <c r="I1088" s="117" t="s">
        <v>1193</v>
      </c>
      <c r="J1088" s="91"/>
      <c r="K1088" s="91">
        <f>ROUND(G1088*H1088,2)</f>
        <v>7.17</v>
      </c>
      <c r="L1088" s="91"/>
      <c r="M1088" s="91"/>
      <c r="N1088" s="91"/>
      <c r="O1088" s="91"/>
      <c r="P1088" s="91"/>
      <c r="Q1088" s="91"/>
      <c r="R1088" s="25"/>
    </row>
    <row r="1089" spans="1:18" ht="30" x14ac:dyDescent="0.25">
      <c r="A1089" s="252" t="s">
        <v>877</v>
      </c>
      <c r="B1089" s="89"/>
      <c r="C1089" s="89"/>
      <c r="D1089" s="89"/>
      <c r="E1089" s="100" t="s">
        <v>925</v>
      </c>
      <c r="F1089" s="89" t="s">
        <v>1215</v>
      </c>
      <c r="G1089" s="91">
        <v>1</v>
      </c>
      <c r="H1089" s="342">
        <f>'MAPA COTAÇÕES ELÉTRICA'!L7</f>
        <v>4.41</v>
      </c>
      <c r="I1089" s="253" t="s">
        <v>1193</v>
      </c>
      <c r="J1089" s="193">
        <f>ROUND(H1089*G1089,2)</f>
        <v>4.41</v>
      </c>
      <c r="K1089" s="193"/>
      <c r="L1089" s="193"/>
      <c r="M1089" s="193"/>
      <c r="N1089" s="193"/>
      <c r="O1089" s="193"/>
      <c r="P1089" s="193"/>
      <c r="Q1089" s="193"/>
      <c r="R1089" s="25"/>
    </row>
    <row r="1090" spans="1:18" ht="30" x14ac:dyDescent="0.25">
      <c r="A1090" s="252" t="s">
        <v>877</v>
      </c>
      <c r="B1090" s="89"/>
      <c r="C1090" s="89"/>
      <c r="D1090" s="89"/>
      <c r="E1090" s="100" t="s">
        <v>941</v>
      </c>
      <c r="F1090" s="89" t="s">
        <v>1215</v>
      </c>
      <c r="G1090" s="91">
        <v>1</v>
      </c>
      <c r="H1090" s="342">
        <f>'MAPA COTAÇÕES ELÉTRICA'!L10</f>
        <v>7.3233333333333333</v>
      </c>
      <c r="I1090" s="253" t="s">
        <v>1193</v>
      </c>
      <c r="J1090" s="193">
        <f>ROUND(H1090*G1090,2)</f>
        <v>7.32</v>
      </c>
      <c r="K1090" s="193"/>
      <c r="L1090" s="193"/>
      <c r="M1090" s="193"/>
      <c r="N1090" s="193"/>
      <c r="O1090" s="193"/>
      <c r="P1090" s="193"/>
      <c r="Q1090" s="193"/>
      <c r="R1090" s="25"/>
    </row>
    <row r="1091" spans="1:18" x14ac:dyDescent="0.25">
      <c r="A1091" s="163"/>
      <c r="B1091" s="101"/>
      <c r="C1091" s="172"/>
      <c r="D1091" s="101"/>
      <c r="E1091" s="104"/>
      <c r="F1091" s="101"/>
      <c r="G1091" s="96"/>
      <c r="H1091" s="96"/>
      <c r="I1091" s="169" t="s">
        <v>1193</v>
      </c>
      <c r="J1091" s="96"/>
      <c r="K1091" s="96"/>
      <c r="L1091" s="96"/>
      <c r="M1091" s="96"/>
      <c r="N1091" s="96"/>
      <c r="O1091" s="96"/>
      <c r="P1091" s="96"/>
      <c r="Q1091" s="96"/>
      <c r="R1091" s="25"/>
    </row>
    <row r="1092" spans="1:18" s="25" customFormat="1" ht="30" x14ac:dyDescent="0.25">
      <c r="A1092" s="149"/>
      <c r="B1092" s="148"/>
      <c r="C1092" s="148"/>
      <c r="D1092" s="143" t="s">
        <v>944</v>
      </c>
      <c r="E1092" s="144" t="s">
        <v>945</v>
      </c>
      <c r="F1092" s="143" t="s">
        <v>1215</v>
      </c>
      <c r="G1092" s="146"/>
      <c r="H1092" s="146"/>
      <c r="I1092" s="146">
        <v>1</v>
      </c>
      <c r="J1092" s="146">
        <f>SUM(J1093:J1096)</f>
        <v>14.03</v>
      </c>
      <c r="K1092" s="146">
        <f>SUM(K1093:K1096)</f>
        <v>12.71</v>
      </c>
      <c r="L1092" s="146">
        <f>J1092+K1092</f>
        <v>26.740000000000002</v>
      </c>
      <c r="M1092" s="146">
        <f>I1092*J1092</f>
        <v>14.03</v>
      </c>
      <c r="N1092" s="146">
        <f>I1092*K1092</f>
        <v>12.71</v>
      </c>
      <c r="O1092" s="146">
        <f>M1092+N1092</f>
        <v>26.740000000000002</v>
      </c>
      <c r="P1092" s="146">
        <f>O1092*$P$1</f>
        <v>6.8614840000000008</v>
      </c>
      <c r="Q1092" s="146">
        <f>P1092+O1092</f>
        <v>33.601483999999999</v>
      </c>
    </row>
    <row r="1093" spans="1:18" x14ac:dyDescent="0.25">
      <c r="A1093" s="134" t="s">
        <v>22</v>
      </c>
      <c r="B1093" s="92"/>
      <c r="C1093" s="92">
        <v>88247</v>
      </c>
      <c r="D1093" s="92"/>
      <c r="E1093" s="93" t="s">
        <v>599</v>
      </c>
      <c r="F1093" s="92" t="s">
        <v>29</v>
      </c>
      <c r="G1093" s="94">
        <v>0.28999999999999998</v>
      </c>
      <c r="H1093" s="94">
        <f>H825</f>
        <v>19.100000000000001</v>
      </c>
      <c r="I1093" s="116" t="s">
        <v>1193</v>
      </c>
      <c r="J1093" s="94"/>
      <c r="K1093" s="94">
        <f>ROUND(G1093*H1093,2)</f>
        <v>5.54</v>
      </c>
      <c r="L1093" s="94"/>
      <c r="M1093" s="94"/>
      <c r="N1093" s="94"/>
      <c r="O1093" s="94"/>
      <c r="P1093" s="94"/>
      <c r="Q1093" s="94"/>
      <c r="R1093" s="25"/>
    </row>
    <row r="1094" spans="1:18" x14ac:dyDescent="0.25">
      <c r="A1094" s="133" t="s">
        <v>22</v>
      </c>
      <c r="B1094" s="89"/>
      <c r="C1094" s="89">
        <v>88264</v>
      </c>
      <c r="D1094" s="89"/>
      <c r="E1094" s="90" t="s">
        <v>594</v>
      </c>
      <c r="F1094" s="89" t="s">
        <v>29</v>
      </c>
      <c r="G1094" s="91">
        <v>0.28999999999999998</v>
      </c>
      <c r="H1094" s="91">
        <f>H826</f>
        <v>24.73</v>
      </c>
      <c r="I1094" s="117" t="s">
        <v>1193</v>
      </c>
      <c r="J1094" s="91"/>
      <c r="K1094" s="91">
        <f>ROUND(G1094*H1094,2)</f>
        <v>7.17</v>
      </c>
      <c r="L1094" s="91"/>
      <c r="M1094" s="91"/>
      <c r="N1094" s="91"/>
      <c r="O1094" s="91"/>
      <c r="P1094" s="91"/>
      <c r="Q1094" s="91"/>
      <c r="R1094" s="25"/>
    </row>
    <row r="1095" spans="1:18" ht="30" x14ac:dyDescent="0.25">
      <c r="A1095" s="252" t="s">
        <v>877</v>
      </c>
      <c r="B1095" s="89"/>
      <c r="C1095" s="89"/>
      <c r="D1095" s="89"/>
      <c r="E1095" s="100" t="s">
        <v>925</v>
      </c>
      <c r="F1095" s="89" t="s">
        <v>1215</v>
      </c>
      <c r="G1095" s="91">
        <v>1</v>
      </c>
      <c r="H1095" s="342">
        <f>'MAPA COTAÇÕES ELÉTRICA'!L7</f>
        <v>4.41</v>
      </c>
      <c r="I1095" s="253" t="s">
        <v>1193</v>
      </c>
      <c r="J1095" s="193">
        <f>ROUND(H1095*G1095,2)</f>
        <v>4.41</v>
      </c>
      <c r="K1095" s="193"/>
      <c r="L1095" s="193"/>
      <c r="M1095" s="193"/>
      <c r="N1095" s="193"/>
      <c r="O1095" s="193"/>
      <c r="P1095" s="193"/>
      <c r="Q1095" s="193"/>
      <c r="R1095" s="25"/>
    </row>
    <row r="1096" spans="1:18" ht="30" x14ac:dyDescent="0.25">
      <c r="A1096" s="252" t="s">
        <v>877</v>
      </c>
      <c r="B1096" s="89"/>
      <c r="C1096" s="89"/>
      <c r="D1096" s="89"/>
      <c r="E1096" s="100" t="s">
        <v>946</v>
      </c>
      <c r="F1096" s="89" t="s">
        <v>1215</v>
      </c>
      <c r="G1096" s="91">
        <v>1</v>
      </c>
      <c r="H1096" s="342">
        <f>'MAPA COTAÇÕES ELÉTRICA'!L12</f>
        <v>9.6199999999999992</v>
      </c>
      <c r="I1096" s="253" t="s">
        <v>1193</v>
      </c>
      <c r="J1096" s="193">
        <f>ROUND(H1096*G1096,2)</f>
        <v>9.6199999999999992</v>
      </c>
      <c r="K1096" s="193"/>
      <c r="L1096" s="193"/>
      <c r="M1096" s="193"/>
      <c r="N1096" s="193"/>
      <c r="O1096" s="193"/>
      <c r="P1096" s="193"/>
      <c r="Q1096" s="193"/>
      <c r="R1096" s="25"/>
    </row>
    <row r="1097" spans="1:18" x14ac:dyDescent="0.25">
      <c r="A1097" s="163"/>
      <c r="B1097" s="101"/>
      <c r="C1097" s="101"/>
      <c r="D1097" s="101"/>
      <c r="E1097" s="104"/>
      <c r="F1097" s="101"/>
      <c r="G1097" s="96"/>
      <c r="H1097" s="96"/>
      <c r="I1097" s="169" t="s">
        <v>1193</v>
      </c>
      <c r="J1097" s="96"/>
      <c r="K1097" s="96"/>
      <c r="L1097" s="96"/>
      <c r="M1097" s="96"/>
      <c r="N1097" s="96"/>
      <c r="O1097" s="96"/>
      <c r="P1097" s="96"/>
      <c r="Q1097" s="96"/>
      <c r="R1097" s="25"/>
    </row>
    <row r="1098" spans="1:18" s="25" customFormat="1" ht="30" x14ac:dyDescent="0.25">
      <c r="A1098" s="149"/>
      <c r="B1098" s="148"/>
      <c r="C1098" s="148"/>
      <c r="D1098" s="143" t="s">
        <v>947</v>
      </c>
      <c r="E1098" s="144" t="s">
        <v>948</v>
      </c>
      <c r="F1098" s="143" t="s">
        <v>1215</v>
      </c>
      <c r="G1098" s="146"/>
      <c r="H1098" s="146"/>
      <c r="I1098" s="146">
        <v>1</v>
      </c>
      <c r="J1098" s="146">
        <f>SUM(J1099:J1102)</f>
        <v>19.060000000000002</v>
      </c>
      <c r="K1098" s="146">
        <f>SUM(K1099:K1102)</f>
        <v>19.28</v>
      </c>
      <c r="L1098" s="146">
        <f>J1098+K1098</f>
        <v>38.340000000000003</v>
      </c>
      <c r="M1098" s="146">
        <f>I1098*J1098</f>
        <v>19.060000000000002</v>
      </c>
      <c r="N1098" s="146">
        <f>I1098*K1098</f>
        <v>19.28</v>
      </c>
      <c r="O1098" s="146">
        <f>M1098+N1098</f>
        <v>38.340000000000003</v>
      </c>
      <c r="P1098" s="146">
        <f>O1098*$P$1</f>
        <v>9.838044</v>
      </c>
      <c r="Q1098" s="146">
        <f>P1098+O1098</f>
        <v>48.178044</v>
      </c>
    </row>
    <row r="1099" spans="1:18" x14ac:dyDescent="0.25">
      <c r="A1099" s="134" t="s">
        <v>22</v>
      </c>
      <c r="B1099" s="92"/>
      <c r="C1099" s="92">
        <v>88247</v>
      </c>
      <c r="D1099" s="92"/>
      <c r="E1099" s="93" t="s">
        <v>599</v>
      </c>
      <c r="F1099" s="92" t="s">
        <v>29</v>
      </c>
      <c r="G1099" s="94">
        <v>0.44</v>
      </c>
      <c r="H1099" s="94">
        <f>H825</f>
        <v>19.100000000000001</v>
      </c>
      <c r="I1099" s="116" t="s">
        <v>1193</v>
      </c>
      <c r="J1099" s="94"/>
      <c r="K1099" s="94">
        <f>ROUND(G1099*H1099,2)</f>
        <v>8.4</v>
      </c>
      <c r="L1099" s="94"/>
      <c r="M1099" s="94"/>
      <c r="N1099" s="94"/>
      <c r="O1099" s="94"/>
      <c r="P1099" s="94"/>
      <c r="Q1099" s="94"/>
      <c r="R1099" s="25"/>
    </row>
    <row r="1100" spans="1:18" x14ac:dyDescent="0.25">
      <c r="A1100" s="133" t="s">
        <v>22</v>
      </c>
      <c r="B1100" s="89"/>
      <c r="C1100" s="89">
        <v>88264</v>
      </c>
      <c r="D1100" s="89"/>
      <c r="E1100" s="90" t="s">
        <v>594</v>
      </c>
      <c r="F1100" s="89" t="s">
        <v>29</v>
      </c>
      <c r="G1100" s="91">
        <v>0.44</v>
      </c>
      <c r="H1100" s="91">
        <f>H826</f>
        <v>24.73</v>
      </c>
      <c r="I1100" s="117" t="s">
        <v>1193</v>
      </c>
      <c r="J1100" s="91"/>
      <c r="K1100" s="91">
        <f>ROUND(G1100*H1100,2)</f>
        <v>10.88</v>
      </c>
      <c r="L1100" s="91"/>
      <c r="M1100" s="91"/>
      <c r="N1100" s="91"/>
      <c r="O1100" s="91"/>
      <c r="P1100" s="91"/>
      <c r="Q1100" s="91"/>
      <c r="R1100" s="25"/>
    </row>
    <row r="1101" spans="1:18" ht="30" x14ac:dyDescent="0.25">
      <c r="A1101" s="252" t="s">
        <v>877</v>
      </c>
      <c r="B1101" s="89"/>
      <c r="C1101" s="89"/>
      <c r="D1101" s="89"/>
      <c r="E1101" s="100" t="s">
        <v>925</v>
      </c>
      <c r="F1101" s="89" t="s">
        <v>1215</v>
      </c>
      <c r="G1101" s="91">
        <v>1</v>
      </c>
      <c r="H1101" s="342">
        <f>'MAPA COTAÇÕES ELÉTRICA'!L7</f>
        <v>4.41</v>
      </c>
      <c r="I1101" s="253" t="s">
        <v>1193</v>
      </c>
      <c r="J1101" s="193">
        <f>ROUND(H1101*G1101,2)</f>
        <v>4.41</v>
      </c>
      <c r="K1101" s="193"/>
      <c r="L1101" s="193"/>
      <c r="M1101" s="193"/>
      <c r="N1101" s="193"/>
      <c r="O1101" s="193"/>
      <c r="P1101" s="193"/>
      <c r="Q1101" s="193"/>
      <c r="R1101" s="25"/>
    </row>
    <row r="1102" spans="1:18" ht="30" x14ac:dyDescent="0.25">
      <c r="A1102" s="252" t="s">
        <v>877</v>
      </c>
      <c r="B1102" s="89"/>
      <c r="C1102" s="89"/>
      <c r="D1102" s="89"/>
      <c r="E1102" s="100" t="s">
        <v>941</v>
      </c>
      <c r="F1102" s="89" t="s">
        <v>1215</v>
      </c>
      <c r="G1102" s="91">
        <v>2</v>
      </c>
      <c r="H1102" s="342">
        <f>'MAPA COTAÇÕES ELÉTRICA'!L10</f>
        <v>7.3233333333333333</v>
      </c>
      <c r="I1102" s="253" t="s">
        <v>1193</v>
      </c>
      <c r="J1102" s="193">
        <f>ROUND(H1102*G1102,2)</f>
        <v>14.65</v>
      </c>
      <c r="K1102" s="193"/>
      <c r="L1102" s="193"/>
      <c r="M1102" s="193"/>
      <c r="N1102" s="193"/>
      <c r="O1102" s="193"/>
      <c r="P1102" s="193"/>
      <c r="Q1102" s="193"/>
      <c r="R1102" s="25"/>
    </row>
    <row r="1103" spans="1:18" x14ac:dyDescent="0.25">
      <c r="A1103" s="163"/>
      <c r="B1103" s="101"/>
      <c r="C1103" s="101"/>
      <c r="D1103" s="101"/>
      <c r="E1103" s="104"/>
      <c r="F1103" s="101"/>
      <c r="G1103" s="96"/>
      <c r="H1103" s="96"/>
      <c r="I1103" s="169" t="s">
        <v>1193</v>
      </c>
      <c r="J1103" s="96"/>
      <c r="K1103" s="96"/>
      <c r="L1103" s="96"/>
      <c r="M1103" s="96"/>
      <c r="N1103" s="96"/>
      <c r="O1103" s="96"/>
      <c r="P1103" s="96"/>
      <c r="Q1103" s="96"/>
      <c r="R1103" s="25"/>
    </row>
    <row r="1104" spans="1:18" s="25" customFormat="1" ht="30" x14ac:dyDescent="0.25">
      <c r="A1104" s="149"/>
      <c r="B1104" s="148"/>
      <c r="C1104" s="148"/>
      <c r="D1104" s="143" t="s">
        <v>949</v>
      </c>
      <c r="E1104" s="144" t="s">
        <v>950</v>
      </c>
      <c r="F1104" s="143" t="s">
        <v>1215</v>
      </c>
      <c r="G1104" s="146"/>
      <c r="H1104" s="146"/>
      <c r="I1104" s="146">
        <v>1</v>
      </c>
      <c r="J1104" s="146">
        <f>SUM(J1105:J1108)</f>
        <v>23.65</v>
      </c>
      <c r="K1104" s="146">
        <f>SUM(K1105:K1108)</f>
        <v>19.28</v>
      </c>
      <c r="L1104" s="146">
        <f>J1104+K1104</f>
        <v>42.93</v>
      </c>
      <c r="M1104" s="146">
        <f>I1104*J1104</f>
        <v>23.65</v>
      </c>
      <c r="N1104" s="146">
        <f>I1104*K1104</f>
        <v>19.28</v>
      </c>
      <c r="O1104" s="146">
        <f>M1104+N1104</f>
        <v>42.93</v>
      </c>
      <c r="P1104" s="146">
        <f>O1104*$P$1</f>
        <v>11.015838</v>
      </c>
      <c r="Q1104" s="146">
        <f>P1104+O1104</f>
        <v>53.945838000000002</v>
      </c>
    </row>
    <row r="1105" spans="1:18" x14ac:dyDescent="0.25">
      <c r="A1105" s="134" t="s">
        <v>22</v>
      </c>
      <c r="B1105" s="92"/>
      <c r="C1105" s="92">
        <v>88247</v>
      </c>
      <c r="D1105" s="92"/>
      <c r="E1105" s="93" t="s">
        <v>599</v>
      </c>
      <c r="F1105" s="92" t="s">
        <v>29</v>
      </c>
      <c r="G1105" s="94">
        <v>0.44</v>
      </c>
      <c r="H1105" s="94">
        <f>H831</f>
        <v>19.100000000000001</v>
      </c>
      <c r="I1105" s="116" t="s">
        <v>1193</v>
      </c>
      <c r="J1105" s="94"/>
      <c r="K1105" s="94">
        <f>ROUND(G1105*H1105,2)</f>
        <v>8.4</v>
      </c>
      <c r="L1105" s="94"/>
      <c r="M1105" s="94"/>
      <c r="N1105" s="94"/>
      <c r="O1105" s="94"/>
      <c r="P1105" s="94"/>
      <c r="Q1105" s="94"/>
      <c r="R1105" s="25"/>
    </row>
    <row r="1106" spans="1:18" x14ac:dyDescent="0.25">
      <c r="A1106" s="133" t="s">
        <v>22</v>
      </c>
      <c r="B1106" s="89"/>
      <c r="C1106" s="89">
        <v>88264</v>
      </c>
      <c r="D1106" s="89"/>
      <c r="E1106" s="90" t="s">
        <v>594</v>
      </c>
      <c r="F1106" s="89" t="s">
        <v>29</v>
      </c>
      <c r="G1106" s="91">
        <v>0.44</v>
      </c>
      <c r="H1106" s="91">
        <f>H832</f>
        <v>24.73</v>
      </c>
      <c r="I1106" s="117" t="s">
        <v>1193</v>
      </c>
      <c r="J1106" s="91"/>
      <c r="K1106" s="91">
        <f>ROUND(G1106*H1106,2)</f>
        <v>10.88</v>
      </c>
      <c r="L1106" s="91"/>
      <c r="M1106" s="91"/>
      <c r="N1106" s="91"/>
      <c r="O1106" s="91"/>
      <c r="P1106" s="91"/>
      <c r="Q1106" s="91"/>
      <c r="R1106" s="25"/>
    </row>
    <row r="1107" spans="1:18" ht="30" x14ac:dyDescent="0.25">
      <c r="A1107" s="135" t="s">
        <v>877</v>
      </c>
      <c r="B1107" s="191"/>
      <c r="C1107" s="191"/>
      <c r="D1107" s="191"/>
      <c r="E1107" s="194" t="s">
        <v>925</v>
      </c>
      <c r="F1107" s="191" t="s">
        <v>1215</v>
      </c>
      <c r="G1107" s="193">
        <v>1</v>
      </c>
      <c r="H1107" s="341">
        <f>'MAPA COTAÇÕES ELÉTRICA'!L7</f>
        <v>4.41</v>
      </c>
      <c r="I1107" s="253" t="s">
        <v>1193</v>
      </c>
      <c r="J1107" s="193">
        <f>ROUND(H1107*G1107,2)</f>
        <v>4.41</v>
      </c>
      <c r="K1107" s="193"/>
      <c r="L1107" s="193"/>
      <c r="M1107" s="193"/>
      <c r="N1107" s="193"/>
      <c r="O1107" s="193"/>
      <c r="P1107" s="193"/>
      <c r="Q1107" s="193"/>
      <c r="R1107" s="25"/>
    </row>
    <row r="1108" spans="1:18" ht="30" x14ac:dyDescent="0.25">
      <c r="A1108" s="252" t="s">
        <v>877</v>
      </c>
      <c r="B1108" s="89"/>
      <c r="C1108" s="89"/>
      <c r="D1108" s="89"/>
      <c r="E1108" s="100" t="s">
        <v>946</v>
      </c>
      <c r="F1108" s="89" t="s">
        <v>1215</v>
      </c>
      <c r="G1108" s="91">
        <v>2</v>
      </c>
      <c r="H1108" s="342">
        <f>'MAPA COTAÇÕES ELÉTRICA'!L12</f>
        <v>9.6199999999999992</v>
      </c>
      <c r="I1108" s="253" t="s">
        <v>1193</v>
      </c>
      <c r="J1108" s="193">
        <f>ROUND(H1108*G1108,2)</f>
        <v>19.239999999999998</v>
      </c>
      <c r="K1108" s="193"/>
      <c r="L1108" s="193"/>
      <c r="M1108" s="193"/>
      <c r="N1108" s="193"/>
      <c r="O1108" s="193"/>
      <c r="P1108" s="193"/>
      <c r="Q1108" s="193"/>
      <c r="R1108" s="25"/>
    </row>
    <row r="1109" spans="1:18" x14ac:dyDescent="0.25">
      <c r="A1109" s="163"/>
      <c r="B1109" s="101"/>
      <c r="C1109" s="101"/>
      <c r="D1109" s="101"/>
      <c r="E1109" s="102"/>
      <c r="F1109" s="101"/>
      <c r="G1109" s="96"/>
      <c r="H1109" s="96"/>
      <c r="I1109" s="169" t="s">
        <v>1193</v>
      </c>
      <c r="J1109" s="96"/>
      <c r="K1109" s="96"/>
      <c r="L1109" s="96"/>
      <c r="M1109" s="96"/>
      <c r="N1109" s="96"/>
      <c r="O1109" s="96"/>
      <c r="P1109" s="96"/>
      <c r="Q1109" s="96"/>
      <c r="R1109" s="25"/>
    </row>
    <row r="1110" spans="1:18" s="25" customFormat="1" ht="30" x14ac:dyDescent="0.25">
      <c r="A1110" s="149"/>
      <c r="B1110" s="148"/>
      <c r="C1110" s="148"/>
      <c r="D1110" s="143" t="s">
        <v>951</v>
      </c>
      <c r="E1110" s="144" t="s">
        <v>952</v>
      </c>
      <c r="F1110" s="143" t="s">
        <v>1215</v>
      </c>
      <c r="G1110" s="146"/>
      <c r="H1110" s="146"/>
      <c r="I1110" s="146">
        <v>1</v>
      </c>
      <c r="J1110" s="146">
        <f>SUM(J1111:J1113)</f>
        <v>4.41</v>
      </c>
      <c r="K1110" s="146">
        <f>SUM(K1111:K1113)</f>
        <v>2.2000000000000002</v>
      </c>
      <c r="L1110" s="146">
        <f>J1110+K1110</f>
        <v>6.61</v>
      </c>
      <c r="M1110" s="146">
        <f>I1110*J1110</f>
        <v>4.41</v>
      </c>
      <c r="N1110" s="146">
        <f>I1110*K1110</f>
        <v>2.2000000000000002</v>
      </c>
      <c r="O1110" s="146">
        <f>M1110+N1110</f>
        <v>6.61</v>
      </c>
      <c r="P1110" s="146">
        <f>O1110*$P$1</f>
        <v>1.696126</v>
      </c>
      <c r="Q1110" s="146">
        <f>P1110+O1110</f>
        <v>8.3061260000000008</v>
      </c>
    </row>
    <row r="1111" spans="1:18" x14ac:dyDescent="0.25">
      <c r="A1111" s="134" t="s">
        <v>22</v>
      </c>
      <c r="B1111" s="92"/>
      <c r="C1111" s="92">
        <v>88247</v>
      </c>
      <c r="D1111" s="92"/>
      <c r="E1111" s="93" t="s">
        <v>599</v>
      </c>
      <c r="F1111" s="92" t="s">
        <v>29</v>
      </c>
      <c r="G1111" s="94">
        <v>0.05</v>
      </c>
      <c r="H1111" s="94">
        <f>H825</f>
        <v>19.100000000000001</v>
      </c>
      <c r="I1111" s="116" t="s">
        <v>1193</v>
      </c>
      <c r="J1111" s="94"/>
      <c r="K1111" s="94">
        <f>ROUND(G1111*H1111,2)</f>
        <v>0.96</v>
      </c>
      <c r="L1111" s="94"/>
      <c r="M1111" s="94"/>
      <c r="N1111" s="94"/>
      <c r="O1111" s="94"/>
      <c r="P1111" s="94"/>
      <c r="Q1111" s="94"/>
      <c r="R1111" s="25"/>
    </row>
    <row r="1112" spans="1:18" x14ac:dyDescent="0.25">
      <c r="A1112" s="133" t="s">
        <v>22</v>
      </c>
      <c r="B1112" s="89"/>
      <c r="C1112" s="89">
        <v>88264</v>
      </c>
      <c r="D1112" s="89"/>
      <c r="E1112" s="90" t="s">
        <v>594</v>
      </c>
      <c r="F1112" s="89" t="s">
        <v>29</v>
      </c>
      <c r="G1112" s="91">
        <v>0.05</v>
      </c>
      <c r="H1112" s="91">
        <f>H826</f>
        <v>24.73</v>
      </c>
      <c r="I1112" s="117" t="s">
        <v>1193</v>
      </c>
      <c r="J1112" s="91"/>
      <c r="K1112" s="91">
        <f>ROUND(G1112*H1112,2)</f>
        <v>1.24</v>
      </c>
      <c r="L1112" s="91"/>
      <c r="M1112" s="91"/>
      <c r="N1112" s="91"/>
      <c r="O1112" s="91"/>
      <c r="P1112" s="91"/>
      <c r="Q1112" s="91"/>
      <c r="R1112" s="25"/>
    </row>
    <row r="1113" spans="1:18" ht="30" x14ac:dyDescent="0.25">
      <c r="A1113" s="135" t="s">
        <v>877</v>
      </c>
      <c r="B1113" s="191"/>
      <c r="C1113" s="191"/>
      <c r="D1113" s="191"/>
      <c r="E1113" s="194" t="s">
        <v>952</v>
      </c>
      <c r="F1113" s="191" t="s">
        <v>1215</v>
      </c>
      <c r="G1113" s="193">
        <v>1</v>
      </c>
      <c r="H1113" s="341">
        <f>'MAPA COTAÇÕES ELÉTRICA'!L7</f>
        <v>4.41</v>
      </c>
      <c r="I1113" s="253" t="s">
        <v>1193</v>
      </c>
      <c r="J1113" s="193">
        <f>ROUND(H1113*G1113,2)</f>
        <v>4.41</v>
      </c>
      <c r="K1113" s="193"/>
      <c r="L1113" s="193"/>
      <c r="M1113" s="193"/>
      <c r="N1113" s="193"/>
      <c r="O1113" s="193"/>
      <c r="P1113" s="193"/>
      <c r="Q1113" s="193"/>
      <c r="R1113" s="25"/>
    </row>
    <row r="1114" spans="1:18" x14ac:dyDescent="0.25">
      <c r="A1114" s="159"/>
      <c r="B1114" s="160"/>
      <c r="C1114" s="160"/>
      <c r="D1114" s="160"/>
      <c r="E1114" s="161"/>
      <c r="F1114" s="160"/>
      <c r="G1114" s="162"/>
      <c r="H1114" s="162"/>
      <c r="I1114" s="170" t="s">
        <v>1193</v>
      </c>
      <c r="J1114" s="162"/>
      <c r="K1114" s="162"/>
      <c r="L1114" s="162"/>
      <c r="M1114" s="162"/>
      <c r="N1114" s="162"/>
      <c r="O1114" s="162"/>
      <c r="P1114" s="162"/>
      <c r="Q1114" s="162"/>
      <c r="R1114" s="25"/>
    </row>
    <row r="1115" spans="1:18" s="25" customFormat="1" ht="30" x14ac:dyDescent="0.25">
      <c r="A1115" s="149"/>
      <c r="B1115" s="148"/>
      <c r="C1115" s="148"/>
      <c r="D1115" s="143" t="s">
        <v>953</v>
      </c>
      <c r="E1115" s="144" t="s">
        <v>954</v>
      </c>
      <c r="F1115" s="143" t="s">
        <v>1215</v>
      </c>
      <c r="G1115" s="146"/>
      <c r="H1115" s="146"/>
      <c r="I1115" s="146">
        <v>1</v>
      </c>
      <c r="J1115" s="146">
        <f>SUM(J1116:J1118)</f>
        <v>6.7</v>
      </c>
      <c r="K1115" s="146">
        <f>SUM(K1116:K1118)</f>
        <v>2.63</v>
      </c>
      <c r="L1115" s="146">
        <f>J1115+K1115</f>
        <v>9.33</v>
      </c>
      <c r="M1115" s="146">
        <f>I1115*J1115</f>
        <v>6.7</v>
      </c>
      <c r="N1115" s="146">
        <f>I1115*K1115</f>
        <v>2.63</v>
      </c>
      <c r="O1115" s="146">
        <f>M1115+N1115</f>
        <v>9.33</v>
      </c>
      <c r="P1115" s="146">
        <f>O1115*$P$1</f>
        <v>2.3940779999999999</v>
      </c>
      <c r="Q1115" s="146">
        <f>P1115+O1115</f>
        <v>11.724078</v>
      </c>
    </row>
    <row r="1116" spans="1:18" x14ac:dyDescent="0.25">
      <c r="A1116" s="133" t="s">
        <v>22</v>
      </c>
      <c r="B1116" s="89"/>
      <c r="C1116" s="89">
        <v>88247</v>
      </c>
      <c r="D1116" s="89"/>
      <c r="E1116" s="90" t="s">
        <v>599</v>
      </c>
      <c r="F1116" s="89" t="s">
        <v>29</v>
      </c>
      <c r="G1116" s="91">
        <v>0.06</v>
      </c>
      <c r="H1116" s="91">
        <f>H825</f>
        <v>19.100000000000001</v>
      </c>
      <c r="I1116" s="117" t="s">
        <v>1193</v>
      </c>
      <c r="J1116" s="91"/>
      <c r="K1116" s="91">
        <f>ROUND(G1116*H1116,2)</f>
        <v>1.1499999999999999</v>
      </c>
      <c r="L1116" s="91"/>
      <c r="M1116" s="91"/>
      <c r="N1116" s="91"/>
      <c r="O1116" s="91"/>
      <c r="P1116" s="91"/>
      <c r="Q1116" s="91"/>
      <c r="R1116" s="25"/>
    </row>
    <row r="1117" spans="1:18" x14ac:dyDescent="0.25">
      <c r="A1117" s="134" t="s">
        <v>22</v>
      </c>
      <c r="B1117" s="92"/>
      <c r="C1117" s="92">
        <v>88264</v>
      </c>
      <c r="D1117" s="92"/>
      <c r="E1117" s="93" t="s">
        <v>594</v>
      </c>
      <c r="F1117" s="92" t="s">
        <v>29</v>
      </c>
      <c r="G1117" s="94">
        <v>0.06</v>
      </c>
      <c r="H1117" s="94">
        <f>H826</f>
        <v>24.73</v>
      </c>
      <c r="I1117" s="116" t="s">
        <v>1193</v>
      </c>
      <c r="J1117" s="94"/>
      <c r="K1117" s="94">
        <f>ROUND(G1117*H1117,2)</f>
        <v>1.48</v>
      </c>
      <c r="L1117" s="94"/>
      <c r="M1117" s="94"/>
      <c r="N1117" s="94"/>
      <c r="O1117" s="94"/>
      <c r="P1117" s="94"/>
      <c r="Q1117" s="94"/>
      <c r="R1117" s="25"/>
    </row>
    <row r="1118" spans="1:18" ht="30" x14ac:dyDescent="0.25">
      <c r="A1118" s="252" t="s">
        <v>877</v>
      </c>
      <c r="B1118" s="89"/>
      <c r="C1118" s="120"/>
      <c r="D1118" s="89"/>
      <c r="E1118" s="100" t="s">
        <v>954</v>
      </c>
      <c r="F1118" s="89" t="s">
        <v>1215</v>
      </c>
      <c r="G1118" s="91">
        <v>1</v>
      </c>
      <c r="H1118" s="342">
        <f>'MAPA COTAÇÕES ELÉTRICA'!L8</f>
        <v>6.7</v>
      </c>
      <c r="I1118" s="253" t="s">
        <v>1193</v>
      </c>
      <c r="J1118" s="193">
        <f>ROUND(H1118*G1118,2)</f>
        <v>6.7</v>
      </c>
      <c r="K1118" s="193"/>
      <c r="L1118" s="193"/>
      <c r="M1118" s="193"/>
      <c r="N1118" s="193"/>
      <c r="O1118" s="193"/>
      <c r="P1118" s="193"/>
      <c r="Q1118" s="193"/>
      <c r="R1118" s="25"/>
    </row>
    <row r="1119" spans="1:18" x14ac:dyDescent="0.25">
      <c r="A1119" s="163"/>
      <c r="B1119" s="101"/>
      <c r="C1119" s="101"/>
      <c r="D1119" s="101"/>
      <c r="E1119" s="102"/>
      <c r="F1119" s="101"/>
      <c r="G1119" s="96"/>
      <c r="H1119" s="96"/>
      <c r="I1119" s="169" t="s">
        <v>1193</v>
      </c>
      <c r="J1119" s="96"/>
      <c r="K1119" s="96"/>
      <c r="L1119" s="96"/>
      <c r="M1119" s="96"/>
      <c r="N1119" s="96"/>
      <c r="O1119" s="96"/>
      <c r="P1119" s="96"/>
      <c r="Q1119" s="96"/>
      <c r="R1119" s="25"/>
    </row>
    <row r="1120" spans="1:18" s="25" customFormat="1" x14ac:dyDescent="0.25">
      <c r="A1120" s="149"/>
      <c r="B1120" s="148"/>
      <c r="C1120" s="148"/>
      <c r="D1120" s="143" t="s">
        <v>955</v>
      </c>
      <c r="E1120" s="144" t="s">
        <v>956</v>
      </c>
      <c r="F1120" s="143" t="s">
        <v>1215</v>
      </c>
      <c r="G1120" s="146"/>
      <c r="H1120" s="146"/>
      <c r="I1120" s="146">
        <v>1</v>
      </c>
      <c r="J1120" s="146">
        <f>SUM(J1121:J1122)</f>
        <v>5.76</v>
      </c>
      <c r="K1120" s="146">
        <f>SUM(K1121:K1122)</f>
        <v>2.87</v>
      </c>
      <c r="L1120" s="146">
        <f>J1120+K1120</f>
        <v>8.629999999999999</v>
      </c>
      <c r="M1120" s="146">
        <f>I1120*J1120</f>
        <v>5.76</v>
      </c>
      <c r="N1120" s="146">
        <f>I1120*K1120</f>
        <v>2.87</v>
      </c>
      <c r="O1120" s="146">
        <f>M1120+N1120</f>
        <v>8.629999999999999</v>
      </c>
      <c r="P1120" s="146">
        <f>O1120*$P$1</f>
        <v>2.2144579999999996</v>
      </c>
      <c r="Q1120" s="146">
        <f>P1120+O1120</f>
        <v>10.844457999999999</v>
      </c>
    </row>
    <row r="1121" spans="1:18" x14ac:dyDescent="0.25">
      <c r="A1121" s="134" t="s">
        <v>22</v>
      </c>
      <c r="B1121" s="92"/>
      <c r="C1121" s="92">
        <v>88247</v>
      </c>
      <c r="D1121" s="92"/>
      <c r="E1121" s="93" t="s">
        <v>599</v>
      </c>
      <c r="F1121" s="92" t="s">
        <v>29</v>
      </c>
      <c r="G1121" s="94">
        <v>0.15</v>
      </c>
      <c r="H1121" s="94">
        <f>H825</f>
        <v>19.100000000000001</v>
      </c>
      <c r="I1121" s="116" t="s">
        <v>1193</v>
      </c>
      <c r="J1121" s="94"/>
      <c r="K1121" s="94">
        <f>ROUND(G1121*H1121,2)</f>
        <v>2.87</v>
      </c>
      <c r="L1121" s="94"/>
      <c r="M1121" s="94"/>
      <c r="N1121" s="94"/>
      <c r="O1121" s="94"/>
      <c r="P1121" s="94"/>
      <c r="Q1121" s="94"/>
      <c r="R1121" s="25"/>
    </row>
    <row r="1122" spans="1:18" x14ac:dyDescent="0.25">
      <c r="A1122" s="252" t="s">
        <v>877</v>
      </c>
      <c r="B1122" s="89"/>
      <c r="C1122" s="89"/>
      <c r="D1122" s="89"/>
      <c r="E1122" s="90" t="s">
        <v>957</v>
      </c>
      <c r="F1122" s="89" t="s">
        <v>1215</v>
      </c>
      <c r="G1122" s="91">
        <v>1</v>
      </c>
      <c r="H1122" s="342">
        <f>'MAPA COTAÇÕES ELÉTRICA'!L16</f>
        <v>5.7633333333333328</v>
      </c>
      <c r="I1122" s="253" t="s">
        <v>1193</v>
      </c>
      <c r="J1122" s="193">
        <f>ROUND(H1122*G1122,2)</f>
        <v>5.76</v>
      </c>
      <c r="K1122" s="193"/>
      <c r="L1122" s="193"/>
      <c r="M1122" s="193"/>
      <c r="N1122" s="193"/>
      <c r="O1122" s="193"/>
      <c r="P1122" s="193"/>
      <c r="Q1122" s="193"/>
      <c r="R1122" s="25"/>
    </row>
    <row r="1123" spans="1:18" x14ac:dyDescent="0.25">
      <c r="A1123" s="163"/>
      <c r="B1123" s="101"/>
      <c r="C1123" s="101"/>
      <c r="D1123" s="101"/>
      <c r="E1123" s="102"/>
      <c r="F1123" s="101"/>
      <c r="G1123" s="96"/>
      <c r="H1123" s="96"/>
      <c r="I1123" s="169" t="s">
        <v>1193</v>
      </c>
      <c r="J1123" s="96"/>
      <c r="K1123" s="96"/>
      <c r="L1123" s="96"/>
      <c r="M1123" s="96"/>
      <c r="N1123" s="96"/>
      <c r="O1123" s="96"/>
      <c r="P1123" s="96"/>
      <c r="Q1123" s="96"/>
      <c r="R1123" s="25"/>
    </row>
    <row r="1124" spans="1:18" s="25" customFormat="1" x14ac:dyDescent="0.25">
      <c r="A1124" s="149"/>
      <c r="B1124" s="148"/>
      <c r="C1124" s="148"/>
      <c r="D1124" s="143" t="s">
        <v>958</v>
      </c>
      <c r="E1124" s="144" t="s">
        <v>959</v>
      </c>
      <c r="F1124" s="143" t="s">
        <v>1215</v>
      </c>
      <c r="G1124" s="146"/>
      <c r="H1124" s="146"/>
      <c r="I1124" s="146">
        <v>1</v>
      </c>
      <c r="J1124" s="146">
        <f>SUM(J1125:J1126)</f>
        <v>6.25</v>
      </c>
      <c r="K1124" s="146">
        <f>SUM(K1125:K1126)</f>
        <v>3.06</v>
      </c>
      <c r="L1124" s="146">
        <f>J1124+K1124</f>
        <v>9.31</v>
      </c>
      <c r="M1124" s="146">
        <f>I1124*J1124</f>
        <v>6.25</v>
      </c>
      <c r="N1124" s="146">
        <f>I1124*K1124</f>
        <v>3.06</v>
      </c>
      <c r="O1124" s="146">
        <f>M1124+N1124</f>
        <v>9.31</v>
      </c>
      <c r="P1124" s="146">
        <f>O1124*$P$1</f>
        <v>2.3889460000000002</v>
      </c>
      <c r="Q1124" s="146">
        <f>P1124+O1124</f>
        <v>11.698946000000001</v>
      </c>
    </row>
    <row r="1125" spans="1:18" x14ac:dyDescent="0.25">
      <c r="A1125" s="134" t="s">
        <v>22</v>
      </c>
      <c r="B1125" s="92"/>
      <c r="C1125" s="92">
        <v>88247</v>
      </c>
      <c r="D1125" s="92"/>
      <c r="E1125" s="93" t="s">
        <v>599</v>
      </c>
      <c r="F1125" s="92" t="s">
        <v>29</v>
      </c>
      <c r="G1125" s="94">
        <v>0.16</v>
      </c>
      <c r="H1125" s="94">
        <f>H825</f>
        <v>19.100000000000001</v>
      </c>
      <c r="I1125" s="116" t="s">
        <v>1193</v>
      </c>
      <c r="J1125" s="94"/>
      <c r="K1125" s="94">
        <f>ROUND(G1125*H1125,2)</f>
        <v>3.06</v>
      </c>
      <c r="L1125" s="94"/>
      <c r="M1125" s="94"/>
      <c r="N1125" s="94"/>
      <c r="O1125" s="94"/>
      <c r="P1125" s="94"/>
      <c r="Q1125" s="94"/>
      <c r="R1125" s="25"/>
    </row>
    <row r="1126" spans="1:18" x14ac:dyDescent="0.25">
      <c r="A1126" s="252" t="s">
        <v>877</v>
      </c>
      <c r="B1126" s="89"/>
      <c r="C1126" s="89"/>
      <c r="D1126" s="89"/>
      <c r="E1126" s="90" t="s">
        <v>957</v>
      </c>
      <c r="F1126" s="89" t="s">
        <v>1215</v>
      </c>
      <c r="G1126" s="91">
        <v>1</v>
      </c>
      <c r="H1126" s="342">
        <f>'MAPA COTAÇÕES ELÉTRICA'!L17</f>
        <v>6.25</v>
      </c>
      <c r="I1126" s="253" t="s">
        <v>1193</v>
      </c>
      <c r="J1126" s="193">
        <f>ROUND(H1126*G1126,2)</f>
        <v>6.25</v>
      </c>
      <c r="K1126" s="193"/>
      <c r="L1126" s="193"/>
      <c r="M1126" s="193"/>
      <c r="N1126" s="193"/>
      <c r="O1126" s="193"/>
      <c r="P1126" s="193"/>
      <c r="Q1126" s="193"/>
      <c r="R1126" s="25"/>
    </row>
    <row r="1127" spans="1:18" x14ac:dyDescent="0.25">
      <c r="A1127" s="163"/>
      <c r="B1127" s="101"/>
      <c r="C1127" s="101"/>
      <c r="D1127" s="101"/>
      <c r="E1127" s="102"/>
      <c r="F1127" s="101"/>
      <c r="G1127" s="96"/>
      <c r="H1127" s="96"/>
      <c r="I1127" s="169" t="s">
        <v>1193</v>
      </c>
      <c r="J1127" s="96"/>
      <c r="K1127" s="96"/>
      <c r="L1127" s="96"/>
      <c r="M1127" s="96"/>
      <c r="N1127" s="96"/>
      <c r="O1127" s="96"/>
      <c r="P1127" s="96"/>
      <c r="Q1127" s="96"/>
      <c r="R1127" s="25"/>
    </row>
    <row r="1128" spans="1:18" s="25" customFormat="1" x14ac:dyDescent="0.25">
      <c r="A1128" s="149"/>
      <c r="B1128" s="148"/>
      <c r="C1128" s="148"/>
      <c r="D1128" s="143" t="s">
        <v>960</v>
      </c>
      <c r="E1128" s="144" t="s">
        <v>961</v>
      </c>
      <c r="F1128" s="143" t="s">
        <v>1215</v>
      </c>
      <c r="G1128" s="146"/>
      <c r="H1128" s="146"/>
      <c r="I1128" s="146">
        <v>1</v>
      </c>
      <c r="J1128" s="146">
        <f>SUM(J1129:J1130)</f>
        <v>5.71</v>
      </c>
      <c r="K1128" s="146">
        <f>SUM(K1129:K1130)</f>
        <v>3.06</v>
      </c>
      <c r="L1128" s="146">
        <f>J1128+K1128</f>
        <v>8.77</v>
      </c>
      <c r="M1128" s="146">
        <f>I1128*J1128</f>
        <v>5.71</v>
      </c>
      <c r="N1128" s="146">
        <f>I1128*K1128</f>
        <v>3.06</v>
      </c>
      <c r="O1128" s="146">
        <f>M1128+N1128</f>
        <v>8.77</v>
      </c>
      <c r="P1128" s="146">
        <f>O1128*$P$1</f>
        <v>2.2503819999999997</v>
      </c>
      <c r="Q1128" s="146">
        <f>P1128+O1128</f>
        <v>11.020382</v>
      </c>
    </row>
    <row r="1129" spans="1:18" x14ac:dyDescent="0.25">
      <c r="A1129" s="134" t="s">
        <v>22</v>
      </c>
      <c r="B1129" s="92"/>
      <c r="C1129" s="92">
        <v>88247</v>
      </c>
      <c r="D1129" s="92"/>
      <c r="E1129" s="93" t="s">
        <v>599</v>
      </c>
      <c r="F1129" s="92" t="s">
        <v>29</v>
      </c>
      <c r="G1129" s="94">
        <v>0.16</v>
      </c>
      <c r="H1129" s="94">
        <f>H825</f>
        <v>19.100000000000001</v>
      </c>
      <c r="I1129" s="116" t="s">
        <v>1193</v>
      </c>
      <c r="J1129" s="94"/>
      <c r="K1129" s="94">
        <f>ROUND(G1129*H1129,2)</f>
        <v>3.06</v>
      </c>
      <c r="L1129" s="94"/>
      <c r="M1129" s="94"/>
      <c r="N1129" s="94"/>
      <c r="O1129" s="94"/>
      <c r="P1129" s="94"/>
      <c r="Q1129" s="94"/>
      <c r="R1129" s="25"/>
    </row>
    <row r="1130" spans="1:18" x14ac:dyDescent="0.25">
      <c r="A1130" s="252" t="s">
        <v>877</v>
      </c>
      <c r="B1130" s="89"/>
      <c r="C1130" s="89"/>
      <c r="D1130" s="89"/>
      <c r="E1130" s="90" t="s">
        <v>962</v>
      </c>
      <c r="F1130" s="89" t="s">
        <v>1215</v>
      </c>
      <c r="G1130" s="91">
        <v>1</v>
      </c>
      <c r="H1130" s="342">
        <f>'MAPA COTAÇÕES ELÉTRICA'!L18</f>
        <v>5.71</v>
      </c>
      <c r="I1130" s="253" t="s">
        <v>1193</v>
      </c>
      <c r="J1130" s="193">
        <f>ROUND(H1130*G1130,2)</f>
        <v>5.71</v>
      </c>
      <c r="K1130" s="193"/>
      <c r="L1130" s="193"/>
      <c r="M1130" s="193"/>
      <c r="N1130" s="193"/>
      <c r="O1130" s="193"/>
      <c r="P1130" s="193"/>
      <c r="Q1130" s="193"/>
      <c r="R1130" s="25"/>
    </row>
    <row r="1131" spans="1:18" x14ac:dyDescent="0.25">
      <c r="A1131" s="163"/>
      <c r="B1131" s="101"/>
      <c r="C1131" s="101"/>
      <c r="D1131" s="101"/>
      <c r="E1131" s="102"/>
      <c r="F1131" s="101"/>
      <c r="G1131" s="96"/>
      <c r="H1131" s="96"/>
      <c r="I1131" s="169" t="s">
        <v>1193</v>
      </c>
      <c r="J1131" s="96"/>
      <c r="K1131" s="96"/>
      <c r="L1131" s="96"/>
      <c r="M1131" s="96"/>
      <c r="N1131" s="96"/>
      <c r="O1131" s="96"/>
      <c r="P1131" s="96"/>
      <c r="Q1131" s="96"/>
      <c r="R1131" s="25"/>
    </row>
    <row r="1132" spans="1:18" s="25" customFormat="1" x14ac:dyDescent="0.25">
      <c r="A1132" s="149"/>
      <c r="B1132" s="148"/>
      <c r="C1132" s="148"/>
      <c r="D1132" s="143" t="s">
        <v>963</v>
      </c>
      <c r="E1132" s="144" t="s">
        <v>964</v>
      </c>
      <c r="F1132" s="143" t="s">
        <v>1215</v>
      </c>
      <c r="G1132" s="146"/>
      <c r="H1132" s="146"/>
      <c r="I1132" s="146">
        <v>1</v>
      </c>
      <c r="J1132" s="146">
        <f>SUM(J1133:J1134)</f>
        <v>5.9</v>
      </c>
      <c r="K1132" s="146">
        <f>SUM(K1133:K1134)</f>
        <v>2.87</v>
      </c>
      <c r="L1132" s="146">
        <f>J1132+K1132</f>
        <v>8.77</v>
      </c>
      <c r="M1132" s="146">
        <f>I1132*J1132</f>
        <v>5.9</v>
      </c>
      <c r="N1132" s="146">
        <f>I1132*K1132</f>
        <v>2.87</v>
      </c>
      <c r="O1132" s="146">
        <f>M1132+N1132</f>
        <v>8.77</v>
      </c>
      <c r="P1132" s="146">
        <f>O1132*$P$1</f>
        <v>2.2503819999999997</v>
      </c>
      <c r="Q1132" s="146">
        <f>P1132+O1132</f>
        <v>11.020382</v>
      </c>
    </row>
    <row r="1133" spans="1:18" x14ac:dyDescent="0.25">
      <c r="A1133" s="134" t="s">
        <v>22</v>
      </c>
      <c r="B1133" s="92"/>
      <c r="C1133" s="92">
        <v>88247</v>
      </c>
      <c r="D1133" s="92"/>
      <c r="E1133" s="93" t="s">
        <v>599</v>
      </c>
      <c r="F1133" s="92" t="s">
        <v>29</v>
      </c>
      <c r="G1133" s="94">
        <v>0.15</v>
      </c>
      <c r="H1133" s="94">
        <f>H825</f>
        <v>19.100000000000001</v>
      </c>
      <c r="I1133" s="116" t="s">
        <v>1193</v>
      </c>
      <c r="J1133" s="94"/>
      <c r="K1133" s="94">
        <f>ROUND(G1133*H1133,2)</f>
        <v>2.87</v>
      </c>
      <c r="L1133" s="94"/>
      <c r="M1133" s="94"/>
      <c r="N1133" s="94"/>
      <c r="O1133" s="94"/>
      <c r="P1133" s="94"/>
      <c r="Q1133" s="94"/>
      <c r="R1133" s="25"/>
    </row>
    <row r="1134" spans="1:18" x14ac:dyDescent="0.25">
      <c r="A1134" s="252" t="s">
        <v>877</v>
      </c>
      <c r="B1134" s="89"/>
      <c r="C1134" s="89"/>
      <c r="D1134" s="89"/>
      <c r="E1134" s="90" t="s">
        <v>965</v>
      </c>
      <c r="F1134" s="89" t="s">
        <v>1215</v>
      </c>
      <c r="G1134" s="91">
        <v>1</v>
      </c>
      <c r="H1134" s="342">
        <f>'MAPA COTAÇÕES ELÉTRICA'!L19</f>
        <v>5.9</v>
      </c>
      <c r="I1134" s="253" t="s">
        <v>1193</v>
      </c>
      <c r="J1134" s="193">
        <f>ROUND(H1134*G1134,2)</f>
        <v>5.9</v>
      </c>
      <c r="K1134" s="193"/>
      <c r="L1134" s="193"/>
      <c r="M1134" s="193"/>
      <c r="N1134" s="193"/>
      <c r="O1134" s="193"/>
      <c r="P1134" s="193"/>
      <c r="Q1134" s="193"/>
      <c r="R1134" s="25"/>
    </row>
    <row r="1135" spans="1:18" x14ac:dyDescent="0.25">
      <c r="A1135" s="163"/>
      <c r="B1135" s="101"/>
      <c r="C1135" s="101"/>
      <c r="D1135" s="101"/>
      <c r="E1135" s="102"/>
      <c r="F1135" s="101"/>
      <c r="G1135" s="96"/>
      <c r="H1135" s="96"/>
      <c r="I1135" s="169" t="s">
        <v>1193</v>
      </c>
      <c r="J1135" s="96"/>
      <c r="K1135" s="96"/>
      <c r="L1135" s="96"/>
      <c r="M1135" s="96"/>
      <c r="N1135" s="96"/>
      <c r="O1135" s="96"/>
      <c r="P1135" s="96"/>
      <c r="Q1135" s="96"/>
      <c r="R1135" s="25"/>
    </row>
    <row r="1136" spans="1:18" s="25" customFormat="1" ht="15.75" x14ac:dyDescent="0.25">
      <c r="A1136" s="136"/>
      <c r="B1136" s="97"/>
      <c r="C1136" s="97"/>
      <c r="D1136" s="97">
        <v>17</v>
      </c>
      <c r="E1136" s="98" t="s">
        <v>966</v>
      </c>
      <c r="F1136" s="97"/>
      <c r="G1136" s="97"/>
      <c r="H1136" s="330"/>
      <c r="I1136" s="97" t="s">
        <v>1193</v>
      </c>
      <c r="J1136" s="330"/>
      <c r="K1136" s="330"/>
      <c r="L1136" s="330"/>
      <c r="M1136" s="330"/>
      <c r="N1136" s="330"/>
      <c r="O1136" s="330"/>
      <c r="P1136" s="330"/>
      <c r="Q1136" s="330">
        <f>SUM(Q1137:Q1232)</f>
        <v>489.57462715999998</v>
      </c>
    </row>
    <row r="1137" spans="1:18" x14ac:dyDescent="0.25">
      <c r="A1137" s="163"/>
      <c r="B1137" s="101"/>
      <c r="C1137" s="101"/>
      <c r="D1137" s="101"/>
      <c r="E1137" s="102"/>
      <c r="F1137" s="101"/>
      <c r="G1137" s="96"/>
      <c r="H1137" s="96"/>
      <c r="I1137" s="169" t="s">
        <v>1193</v>
      </c>
      <c r="J1137" s="96"/>
      <c r="K1137" s="96"/>
      <c r="L1137" s="96"/>
      <c r="M1137" s="96"/>
      <c r="N1137" s="96"/>
      <c r="O1137" s="96"/>
      <c r="P1137" s="96"/>
      <c r="Q1137" s="96"/>
      <c r="R1137" s="25"/>
    </row>
    <row r="1138" spans="1:18" s="25" customFormat="1" x14ac:dyDescent="0.25">
      <c r="A1138" s="149"/>
      <c r="B1138" s="148"/>
      <c r="C1138" s="148"/>
      <c r="D1138" s="143" t="s">
        <v>967</v>
      </c>
      <c r="E1138" s="144" t="s">
        <v>968</v>
      </c>
      <c r="F1138" s="143" t="s">
        <v>39</v>
      </c>
      <c r="G1138" s="146"/>
      <c r="H1138" s="146"/>
      <c r="I1138" s="146">
        <v>0.67</v>
      </c>
      <c r="J1138" s="146">
        <f>SUM(J1139:J1141)</f>
        <v>2.64</v>
      </c>
      <c r="K1138" s="146">
        <f>SUM(K1139:K1141)</f>
        <v>4.82</v>
      </c>
      <c r="L1138" s="146">
        <f>J1138+K1138</f>
        <v>7.4600000000000009</v>
      </c>
      <c r="M1138" s="146">
        <f>I1138*J1138</f>
        <v>1.7688000000000001</v>
      </c>
      <c r="N1138" s="146">
        <f>I1138*K1138</f>
        <v>3.2294000000000005</v>
      </c>
      <c r="O1138" s="146">
        <f>M1138+N1138</f>
        <v>4.9982000000000006</v>
      </c>
      <c r="P1138" s="146">
        <f>O1138*$P$1</f>
        <v>1.2825381200000001</v>
      </c>
      <c r="Q1138" s="146">
        <f>P1138+O1138</f>
        <v>6.2807381200000005</v>
      </c>
    </row>
    <row r="1139" spans="1:18" x14ac:dyDescent="0.25">
      <c r="A1139" s="134" t="s">
        <v>22</v>
      </c>
      <c r="B1139" s="92"/>
      <c r="C1139" s="92">
        <v>88247</v>
      </c>
      <c r="D1139" s="92"/>
      <c r="E1139" s="93" t="s">
        <v>599</v>
      </c>
      <c r="F1139" s="92" t="s">
        <v>29</v>
      </c>
      <c r="G1139" s="94">
        <v>0.11</v>
      </c>
      <c r="H1139" s="94">
        <f>H825</f>
        <v>19.100000000000001</v>
      </c>
      <c r="I1139" s="116" t="s">
        <v>1193</v>
      </c>
      <c r="J1139" s="94"/>
      <c r="K1139" s="94">
        <f>ROUND(G1139*H1139,2)</f>
        <v>2.1</v>
      </c>
      <c r="L1139" s="94"/>
      <c r="M1139" s="94"/>
      <c r="N1139" s="94"/>
      <c r="O1139" s="94"/>
      <c r="P1139" s="94"/>
      <c r="Q1139" s="94"/>
      <c r="R1139" s="25"/>
    </row>
    <row r="1140" spans="1:18" x14ac:dyDescent="0.25">
      <c r="A1140" s="133" t="s">
        <v>22</v>
      </c>
      <c r="B1140" s="89"/>
      <c r="C1140" s="89">
        <v>88264</v>
      </c>
      <c r="D1140" s="89"/>
      <c r="E1140" s="90" t="s">
        <v>594</v>
      </c>
      <c r="F1140" s="89" t="s">
        <v>29</v>
      </c>
      <c r="G1140" s="91">
        <v>0.11</v>
      </c>
      <c r="H1140" s="91">
        <f>H826</f>
        <v>24.73</v>
      </c>
      <c r="I1140" s="117" t="s">
        <v>1193</v>
      </c>
      <c r="J1140" s="91"/>
      <c r="K1140" s="91">
        <f>ROUND(G1140*H1140,2)</f>
        <v>2.72</v>
      </c>
      <c r="L1140" s="91"/>
      <c r="M1140" s="91"/>
      <c r="N1140" s="91"/>
      <c r="O1140" s="91"/>
      <c r="P1140" s="91"/>
      <c r="Q1140" s="91"/>
      <c r="R1140" s="25"/>
    </row>
    <row r="1141" spans="1:18" x14ac:dyDescent="0.25">
      <c r="A1141" s="134" t="s">
        <v>35</v>
      </c>
      <c r="B1141" s="92"/>
      <c r="C1141" s="92" t="s">
        <v>969</v>
      </c>
      <c r="D1141" s="92"/>
      <c r="E1141" s="93" t="s">
        <v>968</v>
      </c>
      <c r="F1141" s="92" t="s">
        <v>39</v>
      </c>
      <c r="G1141" s="94">
        <v>1.02</v>
      </c>
      <c r="H1141" s="94">
        <v>2.59</v>
      </c>
      <c r="I1141" s="116" t="s">
        <v>1193</v>
      </c>
      <c r="J1141" s="94">
        <f>ROUND(H1141*G1141,2)</f>
        <v>2.64</v>
      </c>
      <c r="K1141" s="94"/>
      <c r="L1141" s="94"/>
      <c r="M1141" s="94"/>
      <c r="N1141" s="94"/>
      <c r="O1141" s="94"/>
      <c r="P1141" s="94"/>
      <c r="Q1141" s="94"/>
      <c r="R1141" s="25"/>
    </row>
    <row r="1142" spans="1:18" x14ac:dyDescent="0.25">
      <c r="A1142" s="159"/>
      <c r="B1142" s="160"/>
      <c r="C1142" s="160"/>
      <c r="D1142" s="160"/>
      <c r="E1142" s="161"/>
      <c r="F1142" s="160"/>
      <c r="G1142" s="162"/>
      <c r="H1142" s="162"/>
      <c r="I1142" s="170" t="s">
        <v>1193</v>
      </c>
      <c r="J1142" s="162"/>
      <c r="K1142" s="162"/>
      <c r="L1142" s="162"/>
      <c r="M1142" s="162"/>
      <c r="N1142" s="162"/>
      <c r="O1142" s="162"/>
      <c r="P1142" s="162"/>
      <c r="Q1142" s="162"/>
      <c r="R1142" s="25"/>
    </row>
    <row r="1143" spans="1:18" s="25" customFormat="1" x14ac:dyDescent="0.25">
      <c r="A1143" s="149"/>
      <c r="B1143" s="148"/>
      <c r="C1143" s="148"/>
      <c r="D1143" s="143" t="s">
        <v>970</v>
      </c>
      <c r="E1143" s="144" t="s">
        <v>971</v>
      </c>
      <c r="F1143" s="143" t="s">
        <v>39</v>
      </c>
      <c r="G1143" s="146"/>
      <c r="H1143" s="146"/>
      <c r="I1143" s="146">
        <v>0.67</v>
      </c>
      <c r="J1143" s="146">
        <f>SUM(J1144:J1146)</f>
        <v>4.04</v>
      </c>
      <c r="K1143" s="146">
        <f>SUM(K1144:K1146)</f>
        <v>5.26</v>
      </c>
      <c r="L1143" s="146">
        <f>J1143+K1143</f>
        <v>9.3000000000000007</v>
      </c>
      <c r="M1143" s="146">
        <f>I1143*J1143</f>
        <v>2.7068000000000003</v>
      </c>
      <c r="N1143" s="146">
        <f>I1143*K1143</f>
        <v>3.5242</v>
      </c>
      <c r="O1143" s="146">
        <f>M1143+N1143</f>
        <v>6.2309999999999999</v>
      </c>
      <c r="P1143" s="146">
        <f>O1143*$P$1</f>
        <v>1.5988746</v>
      </c>
      <c r="Q1143" s="146">
        <f>P1143+O1143</f>
        <v>7.8298746000000001</v>
      </c>
    </row>
    <row r="1144" spans="1:18" x14ac:dyDescent="0.25">
      <c r="A1144" s="133" t="s">
        <v>22</v>
      </c>
      <c r="B1144" s="89"/>
      <c r="C1144" s="89">
        <v>88247</v>
      </c>
      <c r="D1144" s="89"/>
      <c r="E1144" s="90" t="s">
        <v>599</v>
      </c>
      <c r="F1144" s="89" t="s">
        <v>29</v>
      </c>
      <c r="G1144" s="91">
        <v>0.12</v>
      </c>
      <c r="H1144" s="91">
        <f>H825</f>
        <v>19.100000000000001</v>
      </c>
      <c r="I1144" s="117" t="s">
        <v>1193</v>
      </c>
      <c r="J1144" s="91"/>
      <c r="K1144" s="91">
        <f>ROUND(G1144*H1144,2)</f>
        <v>2.29</v>
      </c>
      <c r="L1144" s="91"/>
      <c r="M1144" s="91"/>
      <c r="N1144" s="91"/>
      <c r="O1144" s="91"/>
      <c r="P1144" s="91"/>
      <c r="Q1144" s="91"/>
      <c r="R1144" s="25"/>
    </row>
    <row r="1145" spans="1:18" x14ac:dyDescent="0.25">
      <c r="A1145" s="134" t="s">
        <v>22</v>
      </c>
      <c r="B1145" s="92"/>
      <c r="C1145" s="92">
        <v>88264</v>
      </c>
      <c r="D1145" s="92"/>
      <c r="E1145" s="93" t="s">
        <v>594</v>
      </c>
      <c r="F1145" s="92" t="s">
        <v>29</v>
      </c>
      <c r="G1145" s="94">
        <v>0.12</v>
      </c>
      <c r="H1145" s="94">
        <f>H826</f>
        <v>24.73</v>
      </c>
      <c r="I1145" s="116" t="s">
        <v>1193</v>
      </c>
      <c r="J1145" s="94"/>
      <c r="K1145" s="94">
        <f>ROUND(G1145*H1145,2)</f>
        <v>2.97</v>
      </c>
      <c r="L1145" s="94"/>
      <c r="M1145" s="94"/>
      <c r="N1145" s="94"/>
      <c r="O1145" s="94"/>
      <c r="P1145" s="94"/>
      <c r="Q1145" s="94"/>
      <c r="R1145" s="25"/>
    </row>
    <row r="1146" spans="1:18" x14ac:dyDescent="0.25">
      <c r="A1146" s="133" t="s">
        <v>35</v>
      </c>
      <c r="B1146" s="89"/>
      <c r="C1146" s="89" t="s">
        <v>972</v>
      </c>
      <c r="D1146" s="89"/>
      <c r="E1146" s="90" t="s">
        <v>971</v>
      </c>
      <c r="F1146" s="89" t="s">
        <v>39</v>
      </c>
      <c r="G1146" s="91">
        <v>1.02</v>
      </c>
      <c r="H1146" s="91">
        <v>3.96</v>
      </c>
      <c r="I1146" s="117" t="s">
        <v>1193</v>
      </c>
      <c r="J1146" s="91">
        <f>ROUND(H1146*G1146,2)</f>
        <v>4.04</v>
      </c>
      <c r="K1146" s="91"/>
      <c r="L1146" s="91"/>
      <c r="M1146" s="91"/>
      <c r="N1146" s="91"/>
      <c r="O1146" s="91"/>
      <c r="P1146" s="91"/>
      <c r="Q1146" s="91"/>
      <c r="R1146" s="25"/>
    </row>
    <row r="1147" spans="1:18" x14ac:dyDescent="0.25">
      <c r="A1147" s="163"/>
      <c r="B1147" s="101"/>
      <c r="C1147" s="101"/>
      <c r="D1147" s="101"/>
      <c r="E1147" s="102"/>
      <c r="F1147" s="101"/>
      <c r="G1147" s="96"/>
      <c r="H1147" s="96"/>
      <c r="I1147" s="169" t="s">
        <v>1193</v>
      </c>
      <c r="J1147" s="96"/>
      <c r="K1147" s="96"/>
      <c r="L1147" s="96"/>
      <c r="M1147" s="96"/>
      <c r="N1147" s="96"/>
      <c r="O1147" s="96"/>
      <c r="P1147" s="96"/>
      <c r="Q1147" s="96"/>
      <c r="R1147" s="25"/>
    </row>
    <row r="1148" spans="1:18" s="25" customFormat="1" x14ac:dyDescent="0.25">
      <c r="A1148" s="149"/>
      <c r="B1148" s="148"/>
      <c r="C1148" s="148"/>
      <c r="D1148" s="143" t="s">
        <v>973</v>
      </c>
      <c r="E1148" s="144" t="s">
        <v>974</v>
      </c>
      <c r="F1148" s="143" t="s">
        <v>39</v>
      </c>
      <c r="G1148" s="146"/>
      <c r="H1148" s="146"/>
      <c r="I1148" s="146">
        <v>0.67</v>
      </c>
      <c r="J1148" s="146">
        <f>SUM(J1149:J1151)</f>
        <v>5.78</v>
      </c>
      <c r="K1148" s="146">
        <f>SUM(K1149:K1151)</f>
        <v>5.6899999999999995</v>
      </c>
      <c r="L1148" s="146">
        <f>J1148+K1148</f>
        <v>11.469999999999999</v>
      </c>
      <c r="M1148" s="146">
        <f>I1148*J1148</f>
        <v>3.8726000000000003</v>
      </c>
      <c r="N1148" s="146">
        <f>I1148*K1148</f>
        <v>3.8123</v>
      </c>
      <c r="O1148" s="146">
        <f>M1148+N1148</f>
        <v>7.6849000000000007</v>
      </c>
      <c r="P1148" s="146">
        <f>O1148*$P$1</f>
        <v>1.9719453400000002</v>
      </c>
      <c r="Q1148" s="146">
        <f>P1148+O1148</f>
        <v>9.6568453400000003</v>
      </c>
    </row>
    <row r="1149" spans="1:18" x14ac:dyDescent="0.25">
      <c r="A1149" s="134" t="s">
        <v>22</v>
      </c>
      <c r="B1149" s="92"/>
      <c r="C1149" s="92">
        <v>88247</v>
      </c>
      <c r="D1149" s="92"/>
      <c r="E1149" s="93" t="s">
        <v>599</v>
      </c>
      <c r="F1149" s="92" t="s">
        <v>29</v>
      </c>
      <c r="G1149" s="94">
        <v>0.13</v>
      </c>
      <c r="H1149" s="94">
        <f>H825</f>
        <v>19.100000000000001</v>
      </c>
      <c r="I1149" s="116" t="s">
        <v>1193</v>
      </c>
      <c r="J1149" s="94"/>
      <c r="K1149" s="94">
        <f>ROUND(G1149*H1149,2)</f>
        <v>2.48</v>
      </c>
      <c r="L1149" s="94"/>
      <c r="M1149" s="94"/>
      <c r="N1149" s="94"/>
      <c r="O1149" s="94"/>
      <c r="P1149" s="94"/>
      <c r="Q1149" s="94"/>
      <c r="R1149" s="25"/>
    </row>
    <row r="1150" spans="1:18" x14ac:dyDescent="0.25">
      <c r="A1150" s="133" t="s">
        <v>22</v>
      </c>
      <c r="B1150" s="89"/>
      <c r="C1150" s="89">
        <v>88264</v>
      </c>
      <c r="D1150" s="89"/>
      <c r="E1150" s="90" t="s">
        <v>594</v>
      </c>
      <c r="F1150" s="89" t="s">
        <v>29</v>
      </c>
      <c r="G1150" s="91">
        <v>0.13</v>
      </c>
      <c r="H1150" s="91">
        <f>H826</f>
        <v>24.73</v>
      </c>
      <c r="I1150" s="117" t="s">
        <v>1193</v>
      </c>
      <c r="J1150" s="91"/>
      <c r="K1150" s="91">
        <f>ROUND(G1150*H1150,2)</f>
        <v>3.21</v>
      </c>
      <c r="L1150" s="91"/>
      <c r="M1150" s="91"/>
      <c r="N1150" s="91"/>
      <c r="O1150" s="91"/>
      <c r="P1150" s="91"/>
      <c r="Q1150" s="91"/>
      <c r="R1150" s="25"/>
    </row>
    <row r="1151" spans="1:18" x14ac:dyDescent="0.25">
      <c r="A1151" s="134" t="s">
        <v>35</v>
      </c>
      <c r="B1151" s="92"/>
      <c r="C1151" s="92" t="s">
        <v>975</v>
      </c>
      <c r="D1151" s="92"/>
      <c r="E1151" s="93" t="s">
        <v>974</v>
      </c>
      <c r="F1151" s="92" t="s">
        <v>39</v>
      </c>
      <c r="G1151" s="94">
        <v>1.02</v>
      </c>
      <c r="H1151" s="94">
        <v>5.67</v>
      </c>
      <c r="I1151" s="116" t="s">
        <v>1193</v>
      </c>
      <c r="J1151" s="94">
        <f>ROUND(H1151*G1151,2)</f>
        <v>5.78</v>
      </c>
      <c r="K1151" s="94"/>
      <c r="L1151" s="94"/>
      <c r="M1151" s="94"/>
      <c r="N1151" s="94"/>
      <c r="O1151" s="94"/>
      <c r="P1151" s="94"/>
      <c r="Q1151" s="94"/>
      <c r="R1151" s="25"/>
    </row>
    <row r="1152" spans="1:18" x14ac:dyDescent="0.25">
      <c r="A1152" s="159"/>
      <c r="B1152" s="160"/>
      <c r="C1152" s="160"/>
      <c r="D1152" s="160"/>
      <c r="E1152" s="161"/>
      <c r="F1152" s="160"/>
      <c r="G1152" s="162"/>
      <c r="H1152" s="162"/>
      <c r="I1152" s="170" t="s">
        <v>1193</v>
      </c>
      <c r="J1152" s="162"/>
      <c r="K1152" s="162"/>
      <c r="L1152" s="162"/>
      <c r="M1152" s="162"/>
      <c r="N1152" s="162"/>
      <c r="O1152" s="162"/>
      <c r="P1152" s="162"/>
      <c r="Q1152" s="162"/>
      <c r="R1152" s="25"/>
    </row>
    <row r="1153" spans="1:18" s="25" customFormat="1" x14ac:dyDescent="0.25">
      <c r="A1153" s="149"/>
      <c r="B1153" s="148"/>
      <c r="C1153" s="148"/>
      <c r="D1153" s="143" t="s">
        <v>976</v>
      </c>
      <c r="E1153" s="144" t="s">
        <v>981</v>
      </c>
      <c r="F1153" s="143" t="s">
        <v>39</v>
      </c>
      <c r="G1153" s="146"/>
      <c r="H1153" s="146"/>
      <c r="I1153" s="146">
        <v>0.67</v>
      </c>
      <c r="J1153" s="146">
        <f>SUM(J1154:J1156)</f>
        <v>10.79</v>
      </c>
      <c r="K1153" s="146">
        <f>SUM(K1154:K1156)</f>
        <v>6.13</v>
      </c>
      <c r="L1153" s="146">
        <f>J1153+K1153</f>
        <v>16.919999999999998</v>
      </c>
      <c r="M1153" s="146">
        <f>I1153*J1153</f>
        <v>7.2293000000000003</v>
      </c>
      <c r="N1153" s="146">
        <f>I1153*K1153</f>
        <v>4.1071</v>
      </c>
      <c r="O1153" s="146">
        <f>M1153+N1153</f>
        <v>11.336400000000001</v>
      </c>
      <c r="P1153" s="146">
        <f>O1153*$P$1</f>
        <v>2.90892024</v>
      </c>
      <c r="Q1153" s="146">
        <f>P1153+O1153</f>
        <v>14.245320240000002</v>
      </c>
    </row>
    <row r="1154" spans="1:18" x14ac:dyDescent="0.25">
      <c r="A1154" s="133" t="s">
        <v>22</v>
      </c>
      <c r="B1154" s="89"/>
      <c r="C1154" s="89">
        <v>88247</v>
      </c>
      <c r="D1154" s="89"/>
      <c r="E1154" s="90" t="s">
        <v>599</v>
      </c>
      <c r="F1154" s="89" t="s">
        <v>29</v>
      </c>
      <c r="G1154" s="91">
        <v>0.14000000000000001</v>
      </c>
      <c r="H1154" s="91">
        <f>H825</f>
        <v>19.100000000000001</v>
      </c>
      <c r="I1154" s="117" t="s">
        <v>1193</v>
      </c>
      <c r="J1154" s="91"/>
      <c r="K1154" s="91">
        <f>ROUND(G1154*H1154,2)</f>
        <v>2.67</v>
      </c>
      <c r="L1154" s="91"/>
      <c r="M1154" s="91"/>
      <c r="N1154" s="91"/>
      <c r="O1154" s="91"/>
      <c r="P1154" s="91"/>
      <c r="Q1154" s="91"/>
      <c r="R1154" s="25"/>
    </row>
    <row r="1155" spans="1:18" x14ac:dyDescent="0.25">
      <c r="A1155" s="134" t="s">
        <v>22</v>
      </c>
      <c r="B1155" s="92"/>
      <c r="C1155" s="92">
        <v>88264</v>
      </c>
      <c r="D1155" s="92"/>
      <c r="E1155" s="93" t="s">
        <v>594</v>
      </c>
      <c r="F1155" s="92" t="s">
        <v>29</v>
      </c>
      <c r="G1155" s="94">
        <v>0.14000000000000001</v>
      </c>
      <c r="H1155" s="94">
        <f>H826</f>
        <v>24.73</v>
      </c>
      <c r="I1155" s="116" t="s">
        <v>1193</v>
      </c>
      <c r="J1155" s="94"/>
      <c r="K1155" s="94">
        <f>ROUND(G1155*H1155,2)</f>
        <v>3.46</v>
      </c>
      <c r="L1155" s="94"/>
      <c r="M1155" s="94"/>
      <c r="N1155" s="94"/>
      <c r="O1155" s="94"/>
      <c r="P1155" s="94"/>
      <c r="Q1155" s="94"/>
      <c r="R1155" s="25"/>
    </row>
    <row r="1156" spans="1:18" x14ac:dyDescent="0.25">
      <c r="A1156" s="133" t="s">
        <v>35</v>
      </c>
      <c r="B1156" s="89"/>
      <c r="C1156" s="89" t="s">
        <v>982</v>
      </c>
      <c r="D1156" s="89"/>
      <c r="E1156" s="90" t="s">
        <v>981</v>
      </c>
      <c r="F1156" s="89" t="s">
        <v>39</v>
      </c>
      <c r="G1156" s="91">
        <v>1.02</v>
      </c>
      <c r="H1156" s="91">
        <v>10.58</v>
      </c>
      <c r="I1156" s="117" t="s">
        <v>1193</v>
      </c>
      <c r="J1156" s="91">
        <f>ROUND(H1156*G1156,2)</f>
        <v>10.79</v>
      </c>
      <c r="K1156" s="91"/>
      <c r="L1156" s="91"/>
      <c r="M1156" s="91"/>
      <c r="N1156" s="91"/>
      <c r="O1156" s="91"/>
      <c r="P1156" s="91"/>
      <c r="Q1156" s="91"/>
      <c r="R1156" s="25"/>
    </row>
    <row r="1157" spans="1:18" x14ac:dyDescent="0.25">
      <c r="A1157" s="163"/>
      <c r="B1157" s="101"/>
      <c r="C1157" s="101"/>
      <c r="D1157" s="101"/>
      <c r="E1157" s="102"/>
      <c r="F1157" s="101"/>
      <c r="G1157" s="96"/>
      <c r="H1157" s="96"/>
      <c r="I1157" s="169" t="s">
        <v>1193</v>
      </c>
      <c r="J1157" s="96"/>
      <c r="K1157" s="96"/>
      <c r="L1157" s="96"/>
      <c r="M1157" s="96"/>
      <c r="N1157" s="96"/>
      <c r="O1157" s="96"/>
      <c r="P1157" s="96"/>
      <c r="Q1157" s="96"/>
      <c r="R1157" s="25"/>
    </row>
    <row r="1158" spans="1:18" s="25" customFormat="1" x14ac:dyDescent="0.25">
      <c r="A1158" s="149"/>
      <c r="B1158" s="148"/>
      <c r="C1158" s="148"/>
      <c r="D1158" s="143" t="s">
        <v>977</v>
      </c>
      <c r="E1158" s="144" t="s">
        <v>984</v>
      </c>
      <c r="F1158" s="143" t="s">
        <v>39</v>
      </c>
      <c r="G1158" s="146"/>
      <c r="H1158" s="146"/>
      <c r="I1158" s="146">
        <v>0.67</v>
      </c>
      <c r="J1158" s="146">
        <f>SUM(J1159:J1161)</f>
        <v>16.04</v>
      </c>
      <c r="K1158" s="146">
        <f>SUM(K1159:K1161)</f>
        <v>7.02</v>
      </c>
      <c r="L1158" s="146">
        <f>J1158+K1158</f>
        <v>23.06</v>
      </c>
      <c r="M1158" s="146">
        <f>I1158*J1158</f>
        <v>10.7468</v>
      </c>
      <c r="N1158" s="146">
        <f>I1158*K1158</f>
        <v>4.7034000000000002</v>
      </c>
      <c r="O1158" s="146">
        <f>M1158+N1158</f>
        <v>15.450200000000001</v>
      </c>
      <c r="P1158" s="146">
        <f>O1158*$P$1</f>
        <v>3.9645213200000002</v>
      </c>
      <c r="Q1158" s="146">
        <f>P1158+O1158</f>
        <v>19.414721320000002</v>
      </c>
    </row>
    <row r="1159" spans="1:18" x14ac:dyDescent="0.25">
      <c r="A1159" s="134" t="s">
        <v>22</v>
      </c>
      <c r="B1159" s="92"/>
      <c r="C1159" s="92">
        <v>88247</v>
      </c>
      <c r="D1159" s="92"/>
      <c r="E1159" s="93" t="s">
        <v>599</v>
      </c>
      <c r="F1159" s="92" t="s">
        <v>29</v>
      </c>
      <c r="G1159" s="94">
        <v>0.16</v>
      </c>
      <c r="H1159" s="94">
        <f>H825</f>
        <v>19.100000000000001</v>
      </c>
      <c r="I1159" s="116" t="s">
        <v>1193</v>
      </c>
      <c r="J1159" s="94"/>
      <c r="K1159" s="94">
        <f>ROUND(G1159*H1159,2)</f>
        <v>3.06</v>
      </c>
      <c r="L1159" s="94"/>
      <c r="M1159" s="94"/>
      <c r="N1159" s="94"/>
      <c r="O1159" s="94"/>
      <c r="P1159" s="94"/>
      <c r="Q1159" s="94"/>
      <c r="R1159" s="25"/>
    </row>
    <row r="1160" spans="1:18" x14ac:dyDescent="0.25">
      <c r="A1160" s="133" t="s">
        <v>22</v>
      </c>
      <c r="B1160" s="89"/>
      <c r="C1160" s="89">
        <v>88264</v>
      </c>
      <c r="D1160" s="89"/>
      <c r="E1160" s="90" t="s">
        <v>594</v>
      </c>
      <c r="F1160" s="89" t="s">
        <v>29</v>
      </c>
      <c r="G1160" s="91">
        <v>0.16</v>
      </c>
      <c r="H1160" s="91">
        <f>H826</f>
        <v>24.73</v>
      </c>
      <c r="I1160" s="117" t="s">
        <v>1193</v>
      </c>
      <c r="J1160" s="91"/>
      <c r="K1160" s="91">
        <f>ROUND(G1160*H1160,2)</f>
        <v>3.96</v>
      </c>
      <c r="L1160" s="91"/>
      <c r="M1160" s="91"/>
      <c r="N1160" s="91"/>
      <c r="O1160" s="91"/>
      <c r="P1160" s="91"/>
      <c r="Q1160" s="91"/>
      <c r="R1160" s="25"/>
    </row>
    <row r="1161" spans="1:18" x14ac:dyDescent="0.25">
      <c r="A1161" s="134" t="s">
        <v>35</v>
      </c>
      <c r="B1161" s="92"/>
      <c r="C1161" s="92" t="s">
        <v>985</v>
      </c>
      <c r="D1161" s="92"/>
      <c r="E1161" s="93" t="s">
        <v>984</v>
      </c>
      <c r="F1161" s="92" t="s">
        <v>39</v>
      </c>
      <c r="G1161" s="94">
        <v>1.02</v>
      </c>
      <c r="H1161" s="94">
        <v>15.73</v>
      </c>
      <c r="I1161" s="116" t="s">
        <v>1193</v>
      </c>
      <c r="J1161" s="94">
        <f>ROUND(H1161*G1161,2)</f>
        <v>16.04</v>
      </c>
      <c r="K1161" s="94"/>
      <c r="L1161" s="94"/>
      <c r="M1161" s="94"/>
      <c r="N1161" s="94"/>
      <c r="O1161" s="94"/>
      <c r="P1161" s="94"/>
      <c r="Q1161" s="94"/>
      <c r="R1161" s="25"/>
    </row>
    <row r="1162" spans="1:18" x14ac:dyDescent="0.25">
      <c r="A1162" s="159"/>
      <c r="B1162" s="160"/>
      <c r="C1162" s="160"/>
      <c r="D1162" s="160"/>
      <c r="E1162" s="161"/>
      <c r="F1162" s="160"/>
      <c r="G1162" s="162"/>
      <c r="H1162" s="162"/>
      <c r="I1162" s="170" t="s">
        <v>1193</v>
      </c>
      <c r="J1162" s="162"/>
      <c r="K1162" s="162"/>
      <c r="L1162" s="162"/>
      <c r="M1162" s="162"/>
      <c r="N1162" s="162"/>
      <c r="O1162" s="162"/>
      <c r="P1162" s="162"/>
      <c r="Q1162" s="162"/>
      <c r="R1162" s="25"/>
    </row>
    <row r="1163" spans="1:18" s="25" customFormat="1" x14ac:dyDescent="0.25">
      <c r="A1163" s="149"/>
      <c r="B1163" s="148"/>
      <c r="C1163" s="148"/>
      <c r="D1163" s="143" t="s">
        <v>978</v>
      </c>
      <c r="E1163" s="144" t="s">
        <v>987</v>
      </c>
      <c r="F1163" s="143" t="s">
        <v>39</v>
      </c>
      <c r="G1163" s="146"/>
      <c r="H1163" s="146"/>
      <c r="I1163" s="146">
        <v>0.67</v>
      </c>
      <c r="J1163" s="146">
        <f>SUM(J1164:J1166)</f>
        <v>25.26</v>
      </c>
      <c r="K1163" s="146">
        <f>SUM(K1164:K1166)</f>
        <v>7.45</v>
      </c>
      <c r="L1163" s="146">
        <f>J1163+K1163</f>
        <v>32.71</v>
      </c>
      <c r="M1163" s="146">
        <f>I1163*J1163</f>
        <v>16.924200000000003</v>
      </c>
      <c r="N1163" s="146">
        <f>I1163*K1163</f>
        <v>4.9915000000000003</v>
      </c>
      <c r="O1163" s="146">
        <f>M1163+N1163</f>
        <v>21.915700000000001</v>
      </c>
      <c r="P1163" s="146">
        <f>O1163*$P$1</f>
        <v>5.6235686200000004</v>
      </c>
      <c r="Q1163" s="146">
        <f>P1163+O1163</f>
        <v>27.539268620000001</v>
      </c>
    </row>
    <row r="1164" spans="1:18" x14ac:dyDescent="0.25">
      <c r="A1164" s="133" t="s">
        <v>22</v>
      </c>
      <c r="B1164" s="89"/>
      <c r="C1164" s="89">
        <v>88247</v>
      </c>
      <c r="D1164" s="89"/>
      <c r="E1164" s="90" t="s">
        <v>599</v>
      </c>
      <c r="F1164" s="89" t="s">
        <v>29</v>
      </c>
      <c r="G1164" s="91">
        <v>0.17</v>
      </c>
      <c r="H1164" s="91">
        <f>H825</f>
        <v>19.100000000000001</v>
      </c>
      <c r="I1164" s="117" t="s">
        <v>1193</v>
      </c>
      <c r="J1164" s="91"/>
      <c r="K1164" s="91">
        <f>ROUND(G1164*H1164,2)</f>
        <v>3.25</v>
      </c>
      <c r="L1164" s="91"/>
      <c r="M1164" s="91"/>
      <c r="N1164" s="91"/>
      <c r="O1164" s="91"/>
      <c r="P1164" s="91"/>
      <c r="Q1164" s="91"/>
      <c r="R1164" s="25"/>
    </row>
    <row r="1165" spans="1:18" x14ac:dyDescent="0.25">
      <c r="A1165" s="134" t="s">
        <v>22</v>
      </c>
      <c r="B1165" s="92"/>
      <c r="C1165" s="92">
        <v>88264</v>
      </c>
      <c r="D1165" s="92"/>
      <c r="E1165" s="93" t="s">
        <v>594</v>
      </c>
      <c r="F1165" s="92" t="s">
        <v>29</v>
      </c>
      <c r="G1165" s="94">
        <v>0.17</v>
      </c>
      <c r="H1165" s="94">
        <f>H826</f>
        <v>24.73</v>
      </c>
      <c r="I1165" s="116" t="s">
        <v>1193</v>
      </c>
      <c r="J1165" s="94"/>
      <c r="K1165" s="94">
        <f>ROUND(G1165*H1165,2)</f>
        <v>4.2</v>
      </c>
      <c r="L1165" s="94"/>
      <c r="M1165" s="94"/>
      <c r="N1165" s="94"/>
      <c r="O1165" s="94"/>
      <c r="P1165" s="94"/>
      <c r="Q1165" s="94"/>
      <c r="R1165" s="25"/>
    </row>
    <row r="1166" spans="1:18" x14ac:dyDescent="0.25">
      <c r="A1166" s="133" t="s">
        <v>35</v>
      </c>
      <c r="B1166" s="89"/>
      <c r="C1166" s="89" t="s">
        <v>988</v>
      </c>
      <c r="D1166" s="89"/>
      <c r="E1166" s="90" t="s">
        <v>987</v>
      </c>
      <c r="F1166" s="89" t="s">
        <v>39</v>
      </c>
      <c r="G1166" s="91">
        <v>1.02</v>
      </c>
      <c r="H1166" s="91">
        <v>24.76</v>
      </c>
      <c r="I1166" s="117" t="s">
        <v>1193</v>
      </c>
      <c r="J1166" s="91">
        <f>ROUND(H1166*G1166,2)</f>
        <v>25.26</v>
      </c>
      <c r="K1166" s="91"/>
      <c r="L1166" s="91"/>
      <c r="M1166" s="91"/>
      <c r="N1166" s="91"/>
      <c r="O1166" s="91"/>
      <c r="P1166" s="91"/>
      <c r="Q1166" s="91"/>
      <c r="R1166" s="25"/>
    </row>
    <row r="1167" spans="1:18" x14ac:dyDescent="0.25">
      <c r="A1167" s="163"/>
      <c r="B1167" s="101"/>
      <c r="C1167" s="101"/>
      <c r="D1167" s="101"/>
      <c r="E1167" s="102"/>
      <c r="F1167" s="101"/>
      <c r="G1167" s="96"/>
      <c r="H1167" s="96"/>
      <c r="I1167" s="169" t="s">
        <v>1193</v>
      </c>
      <c r="J1167" s="96"/>
      <c r="K1167" s="96"/>
      <c r="L1167" s="96"/>
      <c r="M1167" s="96"/>
      <c r="N1167" s="96"/>
      <c r="O1167" s="96"/>
      <c r="P1167" s="96"/>
      <c r="Q1167" s="96"/>
      <c r="R1167" s="25"/>
    </row>
    <row r="1168" spans="1:18" s="25" customFormat="1" x14ac:dyDescent="0.25">
      <c r="A1168" s="149"/>
      <c r="B1168" s="148"/>
      <c r="C1168" s="148"/>
      <c r="D1168" s="143" t="s">
        <v>979</v>
      </c>
      <c r="E1168" s="144" t="s">
        <v>990</v>
      </c>
      <c r="F1168" s="143" t="s">
        <v>39</v>
      </c>
      <c r="G1168" s="146"/>
      <c r="H1168" s="146"/>
      <c r="I1168" s="146">
        <v>0.67</v>
      </c>
      <c r="J1168" s="146">
        <f>SUM(J1169:J1171)</f>
        <v>34.89</v>
      </c>
      <c r="K1168" s="146">
        <f>SUM(K1169:K1171)</f>
        <v>9.1999999999999993</v>
      </c>
      <c r="L1168" s="146">
        <f>J1168+K1168</f>
        <v>44.09</v>
      </c>
      <c r="M1168" s="146">
        <f>I1168*J1168</f>
        <v>23.376300000000001</v>
      </c>
      <c r="N1168" s="146">
        <f>I1168*K1168</f>
        <v>6.1639999999999997</v>
      </c>
      <c r="O1168" s="146">
        <f>M1168+N1168</f>
        <v>29.540300000000002</v>
      </c>
      <c r="P1168" s="146">
        <f>O1168*$P$1</f>
        <v>7.5800409800000006</v>
      </c>
      <c r="Q1168" s="146">
        <f>P1168+O1168</f>
        <v>37.120340980000002</v>
      </c>
    </row>
    <row r="1169" spans="1:18" x14ac:dyDescent="0.25">
      <c r="A1169" s="134" t="s">
        <v>22</v>
      </c>
      <c r="B1169" s="92"/>
      <c r="C1169" s="92">
        <v>88247</v>
      </c>
      <c r="D1169" s="92"/>
      <c r="E1169" s="93" t="s">
        <v>599</v>
      </c>
      <c r="F1169" s="92" t="s">
        <v>29</v>
      </c>
      <c r="G1169" s="94">
        <v>0.21</v>
      </c>
      <c r="H1169" s="94">
        <f>H825</f>
        <v>19.100000000000001</v>
      </c>
      <c r="I1169" s="116" t="s">
        <v>1193</v>
      </c>
      <c r="J1169" s="94"/>
      <c r="K1169" s="94">
        <f>ROUND(G1169*H1169,2)</f>
        <v>4.01</v>
      </c>
      <c r="L1169" s="94"/>
      <c r="M1169" s="94"/>
      <c r="N1169" s="94"/>
      <c r="O1169" s="94"/>
      <c r="P1169" s="94"/>
      <c r="Q1169" s="94"/>
      <c r="R1169" s="25"/>
    </row>
    <row r="1170" spans="1:18" x14ac:dyDescent="0.25">
      <c r="A1170" s="133" t="s">
        <v>22</v>
      </c>
      <c r="B1170" s="89"/>
      <c r="C1170" s="89">
        <v>88264</v>
      </c>
      <c r="D1170" s="89"/>
      <c r="E1170" s="90" t="s">
        <v>594</v>
      </c>
      <c r="F1170" s="89" t="s">
        <v>29</v>
      </c>
      <c r="G1170" s="91">
        <v>0.21</v>
      </c>
      <c r="H1170" s="91">
        <f>H826</f>
        <v>24.73</v>
      </c>
      <c r="I1170" s="117" t="s">
        <v>1193</v>
      </c>
      <c r="J1170" s="91"/>
      <c r="K1170" s="91">
        <f>ROUND(G1170*H1170,2)</f>
        <v>5.19</v>
      </c>
      <c r="L1170" s="91"/>
      <c r="M1170" s="91"/>
      <c r="N1170" s="91"/>
      <c r="O1170" s="91"/>
      <c r="P1170" s="91"/>
      <c r="Q1170" s="91"/>
      <c r="R1170" s="25"/>
    </row>
    <row r="1171" spans="1:18" x14ac:dyDescent="0.25">
      <c r="A1171" s="134" t="s">
        <v>35</v>
      </c>
      <c r="B1171" s="92"/>
      <c r="C1171" s="92" t="s">
        <v>991</v>
      </c>
      <c r="D1171" s="92"/>
      <c r="E1171" s="93" t="s">
        <v>990</v>
      </c>
      <c r="F1171" s="92" t="s">
        <v>39</v>
      </c>
      <c r="G1171" s="94">
        <v>1.02</v>
      </c>
      <c r="H1171" s="94">
        <v>34.21</v>
      </c>
      <c r="I1171" s="116" t="s">
        <v>1193</v>
      </c>
      <c r="J1171" s="94">
        <f>ROUND(H1171*G1171,2)</f>
        <v>34.89</v>
      </c>
      <c r="K1171" s="94"/>
      <c r="L1171" s="94"/>
      <c r="M1171" s="94"/>
      <c r="N1171" s="94"/>
      <c r="O1171" s="94"/>
      <c r="P1171" s="94"/>
      <c r="Q1171" s="94"/>
      <c r="R1171" s="25"/>
    </row>
    <row r="1172" spans="1:18" x14ac:dyDescent="0.25">
      <c r="A1172" s="159"/>
      <c r="B1172" s="160"/>
      <c r="C1172" s="160"/>
      <c r="D1172" s="160"/>
      <c r="E1172" s="161"/>
      <c r="F1172" s="160"/>
      <c r="G1172" s="162"/>
      <c r="H1172" s="162"/>
      <c r="I1172" s="170" t="s">
        <v>1193</v>
      </c>
      <c r="J1172" s="162"/>
      <c r="K1172" s="162"/>
      <c r="L1172" s="162"/>
      <c r="M1172" s="162"/>
      <c r="N1172" s="162"/>
      <c r="O1172" s="162"/>
      <c r="P1172" s="162"/>
      <c r="Q1172" s="162"/>
      <c r="R1172" s="25"/>
    </row>
    <row r="1173" spans="1:18" s="25" customFormat="1" x14ac:dyDescent="0.25">
      <c r="A1173" s="149"/>
      <c r="B1173" s="148"/>
      <c r="C1173" s="148"/>
      <c r="D1173" s="143" t="s">
        <v>980</v>
      </c>
      <c r="E1173" s="144" t="s">
        <v>993</v>
      </c>
      <c r="F1173" s="143" t="s">
        <v>39</v>
      </c>
      <c r="G1173" s="146"/>
      <c r="H1173" s="146"/>
      <c r="I1173" s="146">
        <v>0.67</v>
      </c>
      <c r="J1173" s="146">
        <f>SUM(J1174:J1176)</f>
        <v>48.21</v>
      </c>
      <c r="K1173" s="146">
        <f>SUM(K1174:K1176)</f>
        <v>13.59</v>
      </c>
      <c r="L1173" s="146">
        <f>J1173+K1173</f>
        <v>61.8</v>
      </c>
      <c r="M1173" s="146">
        <f>I1173*J1173</f>
        <v>32.300699999999999</v>
      </c>
      <c r="N1173" s="146">
        <f>I1173*K1173</f>
        <v>9.1052999999999997</v>
      </c>
      <c r="O1173" s="146">
        <f>M1173+N1173</f>
        <v>41.405999999999999</v>
      </c>
      <c r="P1173" s="146">
        <f>O1173*$P$1</f>
        <v>10.6247796</v>
      </c>
      <c r="Q1173" s="146">
        <f>P1173+O1173</f>
        <v>52.030779600000002</v>
      </c>
    </row>
    <row r="1174" spans="1:18" x14ac:dyDescent="0.25">
      <c r="A1174" s="133" t="s">
        <v>22</v>
      </c>
      <c r="B1174" s="89"/>
      <c r="C1174" s="89">
        <v>88247</v>
      </c>
      <c r="D1174" s="89"/>
      <c r="E1174" s="90" t="s">
        <v>599</v>
      </c>
      <c r="F1174" s="89" t="s">
        <v>29</v>
      </c>
      <c r="G1174" s="91">
        <v>0.31</v>
      </c>
      <c r="H1174" s="91">
        <f>H825</f>
        <v>19.100000000000001</v>
      </c>
      <c r="I1174" s="117" t="s">
        <v>1193</v>
      </c>
      <c r="J1174" s="91"/>
      <c r="K1174" s="91">
        <f>ROUND(G1174*H1174,2)</f>
        <v>5.92</v>
      </c>
      <c r="L1174" s="91"/>
      <c r="M1174" s="91"/>
      <c r="N1174" s="91"/>
      <c r="O1174" s="91"/>
      <c r="P1174" s="91"/>
      <c r="Q1174" s="91"/>
      <c r="R1174" s="25"/>
    </row>
    <row r="1175" spans="1:18" x14ac:dyDescent="0.25">
      <c r="A1175" s="134" t="s">
        <v>22</v>
      </c>
      <c r="B1175" s="92"/>
      <c r="C1175" s="92">
        <v>88264</v>
      </c>
      <c r="D1175" s="92"/>
      <c r="E1175" s="93" t="s">
        <v>594</v>
      </c>
      <c r="F1175" s="92" t="s">
        <v>29</v>
      </c>
      <c r="G1175" s="94">
        <v>0.31</v>
      </c>
      <c r="H1175" s="94">
        <f>H826</f>
        <v>24.73</v>
      </c>
      <c r="I1175" s="116" t="s">
        <v>1193</v>
      </c>
      <c r="J1175" s="94"/>
      <c r="K1175" s="94">
        <f>ROUND(G1175*H1175,2)</f>
        <v>7.67</v>
      </c>
      <c r="L1175" s="94"/>
      <c r="M1175" s="94"/>
      <c r="N1175" s="94"/>
      <c r="O1175" s="94"/>
      <c r="P1175" s="94"/>
      <c r="Q1175" s="94"/>
      <c r="R1175" s="25"/>
    </row>
    <row r="1176" spans="1:18" x14ac:dyDescent="0.25">
      <c r="A1176" s="133" t="s">
        <v>35</v>
      </c>
      <c r="B1176" s="89"/>
      <c r="C1176" s="89" t="s">
        <v>994</v>
      </c>
      <c r="D1176" s="89"/>
      <c r="E1176" s="90" t="s">
        <v>993</v>
      </c>
      <c r="F1176" s="89" t="s">
        <v>39</v>
      </c>
      <c r="G1176" s="91">
        <v>1.02</v>
      </c>
      <c r="H1176" s="91">
        <v>47.26</v>
      </c>
      <c r="I1176" s="117" t="s">
        <v>1193</v>
      </c>
      <c r="J1176" s="91">
        <f>ROUND(H1176*G1176,2)</f>
        <v>48.21</v>
      </c>
      <c r="K1176" s="91"/>
      <c r="L1176" s="91"/>
      <c r="M1176" s="91"/>
      <c r="N1176" s="91"/>
      <c r="O1176" s="91"/>
      <c r="P1176" s="91"/>
      <c r="Q1176" s="91"/>
      <c r="R1176" s="25"/>
    </row>
    <row r="1177" spans="1:18" x14ac:dyDescent="0.25">
      <c r="A1177" s="163"/>
      <c r="B1177" s="101"/>
      <c r="C1177" s="101"/>
      <c r="D1177" s="101"/>
      <c r="E1177" s="102"/>
      <c r="F1177" s="101"/>
      <c r="G1177" s="96"/>
      <c r="H1177" s="96"/>
      <c r="I1177" s="169" t="s">
        <v>1193</v>
      </c>
      <c r="J1177" s="96"/>
      <c r="K1177" s="96"/>
      <c r="L1177" s="96"/>
      <c r="M1177" s="96"/>
      <c r="N1177" s="96"/>
      <c r="O1177" s="96"/>
      <c r="P1177" s="96"/>
      <c r="Q1177" s="96"/>
      <c r="R1177" s="25"/>
    </row>
    <row r="1178" spans="1:18" s="25" customFormat="1" x14ac:dyDescent="0.25">
      <c r="A1178" s="149"/>
      <c r="B1178" s="148"/>
      <c r="C1178" s="148"/>
      <c r="D1178" s="143" t="s">
        <v>983</v>
      </c>
      <c r="E1178" s="144" t="s">
        <v>996</v>
      </c>
      <c r="F1178" s="143" t="s">
        <v>39</v>
      </c>
      <c r="G1178" s="146"/>
      <c r="H1178" s="146"/>
      <c r="I1178" s="146">
        <v>0.67</v>
      </c>
      <c r="J1178" s="146">
        <f>SUM(J1179:J1181)</f>
        <v>66.34</v>
      </c>
      <c r="K1178" s="146">
        <f>SUM(K1179:K1181)</f>
        <v>14.9</v>
      </c>
      <c r="L1178" s="146">
        <f>J1178+K1178</f>
        <v>81.240000000000009</v>
      </c>
      <c r="M1178" s="146">
        <f>I1178*J1178</f>
        <v>44.447800000000008</v>
      </c>
      <c r="N1178" s="146">
        <f>I1178*K1178</f>
        <v>9.9830000000000005</v>
      </c>
      <c r="O1178" s="146">
        <f>M1178+N1178</f>
        <v>54.430800000000005</v>
      </c>
      <c r="P1178" s="146">
        <f>O1178*$P$1</f>
        <v>13.966943280000001</v>
      </c>
      <c r="Q1178" s="146">
        <f>P1178+O1178</f>
        <v>68.39774328</v>
      </c>
    </row>
    <row r="1179" spans="1:18" x14ac:dyDescent="0.25">
      <c r="A1179" s="134" t="s">
        <v>22</v>
      </c>
      <c r="B1179" s="92"/>
      <c r="C1179" s="92">
        <v>88247</v>
      </c>
      <c r="D1179" s="92"/>
      <c r="E1179" s="93" t="s">
        <v>599</v>
      </c>
      <c r="F1179" s="92" t="s">
        <v>29</v>
      </c>
      <c r="G1179" s="94">
        <v>0.34</v>
      </c>
      <c r="H1179" s="94">
        <f>H825</f>
        <v>19.100000000000001</v>
      </c>
      <c r="I1179" s="116" t="s">
        <v>1193</v>
      </c>
      <c r="J1179" s="94"/>
      <c r="K1179" s="94">
        <f>ROUND(G1179*H1179,2)</f>
        <v>6.49</v>
      </c>
      <c r="L1179" s="94"/>
      <c r="M1179" s="94"/>
      <c r="N1179" s="94"/>
      <c r="O1179" s="94"/>
      <c r="P1179" s="94"/>
      <c r="Q1179" s="94"/>
      <c r="R1179" s="25"/>
    </row>
    <row r="1180" spans="1:18" x14ac:dyDescent="0.25">
      <c r="A1180" s="133" t="s">
        <v>22</v>
      </c>
      <c r="B1180" s="89"/>
      <c r="C1180" s="89">
        <v>88264</v>
      </c>
      <c r="D1180" s="89"/>
      <c r="E1180" s="90" t="s">
        <v>594</v>
      </c>
      <c r="F1180" s="89" t="s">
        <v>29</v>
      </c>
      <c r="G1180" s="91">
        <v>0.34</v>
      </c>
      <c r="H1180" s="91">
        <f>H826</f>
        <v>24.73</v>
      </c>
      <c r="I1180" s="117" t="s">
        <v>1193</v>
      </c>
      <c r="J1180" s="91"/>
      <c r="K1180" s="91">
        <f>ROUND(G1180*H1180,2)</f>
        <v>8.41</v>
      </c>
      <c r="L1180" s="91"/>
      <c r="M1180" s="91"/>
      <c r="N1180" s="91"/>
      <c r="O1180" s="91"/>
      <c r="P1180" s="91"/>
      <c r="Q1180" s="91"/>
      <c r="R1180" s="25"/>
    </row>
    <row r="1181" spans="1:18" x14ac:dyDescent="0.25">
      <c r="A1181" s="134" t="s">
        <v>35</v>
      </c>
      <c r="B1181" s="92"/>
      <c r="C1181" s="92" t="s">
        <v>997</v>
      </c>
      <c r="D1181" s="92"/>
      <c r="E1181" s="93" t="s">
        <v>996</v>
      </c>
      <c r="F1181" s="92" t="s">
        <v>39</v>
      </c>
      <c r="G1181" s="94">
        <v>1.02</v>
      </c>
      <c r="H1181" s="94">
        <v>65.040000000000006</v>
      </c>
      <c r="I1181" s="116" t="s">
        <v>1193</v>
      </c>
      <c r="J1181" s="94">
        <f>ROUND(H1181*G1181,2)</f>
        <v>66.34</v>
      </c>
      <c r="K1181" s="94"/>
      <c r="L1181" s="94"/>
      <c r="M1181" s="94"/>
      <c r="N1181" s="94"/>
      <c r="O1181" s="94"/>
      <c r="P1181" s="94"/>
      <c r="Q1181" s="94"/>
      <c r="R1181" s="25"/>
    </row>
    <row r="1182" spans="1:18" x14ac:dyDescent="0.25">
      <c r="A1182" s="159"/>
      <c r="B1182" s="160"/>
      <c r="C1182" s="160"/>
      <c r="D1182" s="160"/>
      <c r="E1182" s="161"/>
      <c r="F1182" s="160"/>
      <c r="G1182" s="162"/>
      <c r="H1182" s="162"/>
      <c r="I1182" s="170" t="s">
        <v>1193</v>
      </c>
      <c r="J1182" s="162"/>
      <c r="K1182" s="162"/>
      <c r="L1182" s="162"/>
      <c r="M1182" s="162"/>
      <c r="N1182" s="162"/>
      <c r="O1182" s="162"/>
      <c r="P1182" s="162"/>
      <c r="Q1182" s="162"/>
      <c r="R1182" s="25"/>
    </row>
    <row r="1183" spans="1:18" s="25" customFormat="1" x14ac:dyDescent="0.25">
      <c r="A1183" s="149"/>
      <c r="B1183" s="148"/>
      <c r="C1183" s="148"/>
      <c r="D1183" s="143" t="s">
        <v>986</v>
      </c>
      <c r="E1183" s="144" t="s">
        <v>999</v>
      </c>
      <c r="F1183" s="143" t="s">
        <v>39</v>
      </c>
      <c r="G1183" s="146"/>
      <c r="H1183" s="146"/>
      <c r="I1183" s="146">
        <v>0.67</v>
      </c>
      <c r="J1183" s="146">
        <f>SUM(J1184:J1186)</f>
        <v>88.61</v>
      </c>
      <c r="K1183" s="146">
        <f>SUM(K1184:K1186)</f>
        <v>15.780000000000001</v>
      </c>
      <c r="L1183" s="146">
        <f>J1183+K1183</f>
        <v>104.39</v>
      </c>
      <c r="M1183" s="146">
        <f>I1183*J1183</f>
        <v>59.368700000000004</v>
      </c>
      <c r="N1183" s="146">
        <f>I1183*K1183</f>
        <v>10.572600000000001</v>
      </c>
      <c r="O1183" s="146">
        <f>M1183+N1183</f>
        <v>69.941300000000012</v>
      </c>
      <c r="P1183" s="146">
        <f>O1183*$P$1</f>
        <v>17.946937580000004</v>
      </c>
      <c r="Q1183" s="146">
        <f>P1183+O1183</f>
        <v>87.888237580000009</v>
      </c>
    </row>
    <row r="1184" spans="1:18" x14ac:dyDescent="0.25">
      <c r="A1184" s="133" t="s">
        <v>22</v>
      </c>
      <c r="B1184" s="89"/>
      <c r="C1184" s="89">
        <v>88247</v>
      </c>
      <c r="D1184" s="89"/>
      <c r="E1184" s="90" t="s">
        <v>599</v>
      </c>
      <c r="F1184" s="89" t="s">
        <v>29</v>
      </c>
      <c r="G1184" s="91">
        <v>0.36</v>
      </c>
      <c r="H1184" s="91">
        <f>H825</f>
        <v>19.100000000000001</v>
      </c>
      <c r="I1184" s="117" t="s">
        <v>1193</v>
      </c>
      <c r="J1184" s="91"/>
      <c r="K1184" s="91">
        <f>ROUND(G1184*H1184,2)</f>
        <v>6.88</v>
      </c>
      <c r="L1184" s="91"/>
      <c r="M1184" s="91"/>
      <c r="N1184" s="91"/>
      <c r="O1184" s="91"/>
      <c r="P1184" s="91"/>
      <c r="Q1184" s="91"/>
      <c r="R1184" s="25"/>
    </row>
    <row r="1185" spans="1:18" x14ac:dyDescent="0.25">
      <c r="A1185" s="134" t="s">
        <v>22</v>
      </c>
      <c r="B1185" s="92"/>
      <c r="C1185" s="92">
        <v>88264</v>
      </c>
      <c r="D1185" s="92"/>
      <c r="E1185" s="93" t="s">
        <v>594</v>
      </c>
      <c r="F1185" s="92" t="s">
        <v>29</v>
      </c>
      <c r="G1185" s="94">
        <v>0.36</v>
      </c>
      <c r="H1185" s="94">
        <f>H826</f>
        <v>24.73</v>
      </c>
      <c r="I1185" s="116" t="s">
        <v>1193</v>
      </c>
      <c r="J1185" s="94"/>
      <c r="K1185" s="94">
        <f>ROUND(G1185*H1185,2)</f>
        <v>8.9</v>
      </c>
      <c r="L1185" s="94"/>
      <c r="M1185" s="94"/>
      <c r="N1185" s="94"/>
      <c r="O1185" s="94"/>
      <c r="P1185" s="94"/>
      <c r="Q1185" s="94"/>
      <c r="R1185" s="25"/>
    </row>
    <row r="1186" spans="1:18" x14ac:dyDescent="0.25">
      <c r="A1186" s="133" t="s">
        <v>35</v>
      </c>
      <c r="B1186" s="89"/>
      <c r="C1186" s="89" t="s">
        <v>1000</v>
      </c>
      <c r="D1186" s="89"/>
      <c r="E1186" s="90" t="s">
        <v>999</v>
      </c>
      <c r="F1186" s="89" t="s">
        <v>39</v>
      </c>
      <c r="G1186" s="91">
        <v>1.02</v>
      </c>
      <c r="H1186" s="91">
        <v>86.87</v>
      </c>
      <c r="I1186" s="117" t="s">
        <v>1193</v>
      </c>
      <c r="J1186" s="91">
        <f>ROUND(H1186*G1186,2)</f>
        <v>88.61</v>
      </c>
      <c r="K1186" s="91"/>
      <c r="L1186" s="91"/>
      <c r="M1186" s="91"/>
      <c r="N1186" s="91"/>
      <c r="O1186" s="91"/>
      <c r="P1186" s="91"/>
      <c r="Q1186" s="91"/>
      <c r="R1186" s="25"/>
    </row>
    <row r="1187" spans="1:18" x14ac:dyDescent="0.25">
      <c r="A1187" s="163"/>
      <c r="B1187" s="101"/>
      <c r="C1187" s="101"/>
      <c r="D1187" s="101"/>
      <c r="E1187" s="102"/>
      <c r="F1187" s="101"/>
      <c r="G1187" s="96"/>
      <c r="H1187" s="96"/>
      <c r="I1187" s="169" t="s">
        <v>1193</v>
      </c>
      <c r="J1187" s="96"/>
      <c r="K1187" s="96"/>
      <c r="L1187" s="96"/>
      <c r="M1187" s="96"/>
      <c r="N1187" s="96"/>
      <c r="O1187" s="96"/>
      <c r="P1187" s="96"/>
      <c r="Q1187" s="96"/>
      <c r="R1187" s="25"/>
    </row>
    <row r="1188" spans="1:18" s="25" customFormat="1" x14ac:dyDescent="0.25">
      <c r="A1188" s="149"/>
      <c r="B1188" s="148"/>
      <c r="C1188" s="148"/>
      <c r="D1188" s="143" t="s">
        <v>989</v>
      </c>
      <c r="E1188" s="144" t="s">
        <v>1002</v>
      </c>
      <c r="F1188" s="143" t="s">
        <v>39</v>
      </c>
      <c r="G1188" s="146"/>
      <c r="H1188" s="146"/>
      <c r="I1188" s="146">
        <v>0.67</v>
      </c>
      <c r="J1188" s="146">
        <f>SUM(J1189:J1191)</f>
        <v>7.48</v>
      </c>
      <c r="K1188" s="146">
        <f>SUM(K1189:K1191)</f>
        <v>4.82</v>
      </c>
      <c r="L1188" s="146">
        <f>J1188+K1188</f>
        <v>12.3</v>
      </c>
      <c r="M1188" s="146">
        <f>I1188*J1188</f>
        <v>5.0116000000000005</v>
      </c>
      <c r="N1188" s="146">
        <f>I1188*K1188</f>
        <v>3.2294000000000005</v>
      </c>
      <c r="O1188" s="146">
        <f>M1188+N1188</f>
        <v>8.2410000000000014</v>
      </c>
      <c r="P1188" s="146">
        <f>O1188*$P$1</f>
        <v>2.1146406000000004</v>
      </c>
      <c r="Q1188" s="146">
        <f>P1188+O1188</f>
        <v>10.355640600000001</v>
      </c>
    </row>
    <row r="1189" spans="1:18" x14ac:dyDescent="0.25">
      <c r="A1189" s="134" t="s">
        <v>22</v>
      </c>
      <c r="B1189" s="92"/>
      <c r="C1189" s="92">
        <v>88247</v>
      </c>
      <c r="D1189" s="92"/>
      <c r="E1189" s="93" t="s">
        <v>599</v>
      </c>
      <c r="F1189" s="92" t="s">
        <v>29</v>
      </c>
      <c r="G1189" s="94">
        <v>0.11</v>
      </c>
      <c r="H1189" s="94">
        <f>H825</f>
        <v>19.100000000000001</v>
      </c>
      <c r="I1189" s="116" t="s">
        <v>1193</v>
      </c>
      <c r="J1189" s="94"/>
      <c r="K1189" s="94">
        <f>ROUND(G1189*H1189,2)</f>
        <v>2.1</v>
      </c>
      <c r="L1189" s="94"/>
      <c r="M1189" s="94"/>
      <c r="N1189" s="94"/>
      <c r="O1189" s="94"/>
      <c r="P1189" s="94"/>
      <c r="Q1189" s="94"/>
      <c r="R1189" s="25"/>
    </row>
    <row r="1190" spans="1:18" x14ac:dyDescent="0.25">
      <c r="A1190" s="133" t="s">
        <v>22</v>
      </c>
      <c r="B1190" s="89"/>
      <c r="C1190" s="89">
        <v>88264</v>
      </c>
      <c r="D1190" s="89"/>
      <c r="E1190" s="90" t="s">
        <v>594</v>
      </c>
      <c r="F1190" s="89" t="s">
        <v>29</v>
      </c>
      <c r="G1190" s="91">
        <v>0.11</v>
      </c>
      <c r="H1190" s="91">
        <f>H826</f>
        <v>24.73</v>
      </c>
      <c r="I1190" s="117" t="s">
        <v>1193</v>
      </c>
      <c r="J1190" s="91"/>
      <c r="K1190" s="91">
        <f>ROUND(G1190*H1190,2)</f>
        <v>2.72</v>
      </c>
      <c r="L1190" s="91"/>
      <c r="M1190" s="91"/>
      <c r="N1190" s="91"/>
      <c r="O1190" s="91"/>
      <c r="P1190" s="91"/>
      <c r="Q1190" s="91"/>
      <c r="R1190" s="25"/>
    </row>
    <row r="1191" spans="1:18" x14ac:dyDescent="0.25">
      <c r="A1191" s="134" t="s">
        <v>22</v>
      </c>
      <c r="B1191" s="92"/>
      <c r="C1191" s="92">
        <v>34618</v>
      </c>
      <c r="D1191" s="92"/>
      <c r="E1191" s="93" t="str">
        <f>E1188</f>
        <v>Cabo PP 3 condutores 1,5mm²</v>
      </c>
      <c r="F1191" s="92" t="s">
        <v>39</v>
      </c>
      <c r="G1191" s="94">
        <v>1.02</v>
      </c>
      <c r="H1191" s="94">
        <v>7.33</v>
      </c>
      <c r="I1191" s="116" t="s">
        <v>1193</v>
      </c>
      <c r="J1191" s="94">
        <f>ROUND(H1191*G1191,2)</f>
        <v>7.48</v>
      </c>
      <c r="K1191" s="94"/>
      <c r="L1191" s="94"/>
      <c r="M1191" s="94"/>
      <c r="N1191" s="94"/>
      <c r="O1191" s="94"/>
      <c r="P1191" s="94"/>
      <c r="Q1191" s="94"/>
      <c r="R1191" s="25"/>
    </row>
    <row r="1192" spans="1:18" x14ac:dyDescent="0.25">
      <c r="A1192" s="159"/>
      <c r="B1192" s="160"/>
      <c r="C1192" s="160"/>
      <c r="D1192" s="160"/>
      <c r="E1192" s="161"/>
      <c r="F1192" s="160"/>
      <c r="G1192" s="162"/>
      <c r="H1192" s="162"/>
      <c r="I1192" s="170" t="s">
        <v>1193</v>
      </c>
      <c r="J1192" s="162"/>
      <c r="K1192" s="162"/>
      <c r="L1192" s="162"/>
      <c r="M1192" s="162"/>
      <c r="N1192" s="162"/>
      <c r="O1192" s="162"/>
      <c r="P1192" s="162"/>
      <c r="Q1192" s="162"/>
      <c r="R1192" s="25"/>
    </row>
    <row r="1193" spans="1:18" s="25" customFormat="1" x14ac:dyDescent="0.25">
      <c r="A1193" s="149"/>
      <c r="B1193" s="148"/>
      <c r="C1193" s="148"/>
      <c r="D1193" s="143" t="s">
        <v>992</v>
      </c>
      <c r="E1193" s="144" t="s">
        <v>1004</v>
      </c>
      <c r="F1193" s="143" t="s">
        <v>39</v>
      </c>
      <c r="G1193" s="146"/>
      <c r="H1193" s="146"/>
      <c r="I1193" s="146">
        <v>0.67</v>
      </c>
      <c r="J1193" s="146">
        <f>SUM(J1194:J1196)</f>
        <v>9.34</v>
      </c>
      <c r="K1193" s="146">
        <f>SUM(K1194:K1196)</f>
        <v>5.26</v>
      </c>
      <c r="L1193" s="146">
        <f>J1193+K1193</f>
        <v>14.6</v>
      </c>
      <c r="M1193" s="146">
        <f>I1193*J1193</f>
        <v>6.2578000000000005</v>
      </c>
      <c r="N1193" s="146">
        <f>I1193*K1193</f>
        <v>3.5242</v>
      </c>
      <c r="O1193" s="146">
        <f>M1193+N1193</f>
        <v>9.782</v>
      </c>
      <c r="P1193" s="146">
        <f>O1193*$P$1</f>
        <v>2.5100612</v>
      </c>
      <c r="Q1193" s="146">
        <f>P1193+O1193</f>
        <v>12.292061199999999</v>
      </c>
    </row>
    <row r="1194" spans="1:18" x14ac:dyDescent="0.25">
      <c r="A1194" s="133" t="s">
        <v>22</v>
      </c>
      <c r="B1194" s="89"/>
      <c r="C1194" s="89">
        <v>88247</v>
      </c>
      <c r="D1194" s="89"/>
      <c r="E1194" s="90" t="s">
        <v>599</v>
      </c>
      <c r="F1194" s="89" t="s">
        <v>29</v>
      </c>
      <c r="G1194" s="91">
        <v>0.12</v>
      </c>
      <c r="H1194" s="91">
        <f>H825</f>
        <v>19.100000000000001</v>
      </c>
      <c r="I1194" s="117" t="s">
        <v>1193</v>
      </c>
      <c r="J1194" s="91"/>
      <c r="K1194" s="91">
        <f>ROUND(G1194*H1194,2)</f>
        <v>2.29</v>
      </c>
      <c r="L1194" s="91"/>
      <c r="M1194" s="91"/>
      <c r="N1194" s="91"/>
      <c r="O1194" s="91"/>
      <c r="P1194" s="91"/>
      <c r="Q1194" s="91"/>
      <c r="R1194" s="25"/>
    </row>
    <row r="1195" spans="1:18" x14ac:dyDescent="0.25">
      <c r="A1195" s="134" t="s">
        <v>22</v>
      </c>
      <c r="B1195" s="92"/>
      <c r="C1195" s="92">
        <v>88264</v>
      </c>
      <c r="D1195" s="92"/>
      <c r="E1195" s="93" t="s">
        <v>594</v>
      </c>
      <c r="F1195" s="92" t="s">
        <v>29</v>
      </c>
      <c r="G1195" s="94">
        <v>0.12</v>
      </c>
      <c r="H1195" s="94">
        <f>H826</f>
        <v>24.73</v>
      </c>
      <c r="I1195" s="116" t="s">
        <v>1193</v>
      </c>
      <c r="J1195" s="94"/>
      <c r="K1195" s="94">
        <f>ROUND(G1195*H1195,2)</f>
        <v>2.97</v>
      </c>
      <c r="L1195" s="94"/>
      <c r="M1195" s="94"/>
      <c r="N1195" s="94"/>
      <c r="O1195" s="94"/>
      <c r="P1195" s="94"/>
      <c r="Q1195" s="94"/>
      <c r="R1195" s="25"/>
    </row>
    <row r="1196" spans="1:18" x14ac:dyDescent="0.25">
      <c r="A1196" s="133" t="s">
        <v>22</v>
      </c>
      <c r="B1196" s="89"/>
      <c r="C1196" s="89">
        <v>39258</v>
      </c>
      <c r="D1196" s="89"/>
      <c r="E1196" s="90" t="str">
        <f>E1193</f>
        <v>Cabo PP 3 condutores 2,5 mm²</v>
      </c>
      <c r="F1196" s="89" t="s">
        <v>39</v>
      </c>
      <c r="G1196" s="91">
        <v>1.02</v>
      </c>
      <c r="H1196" s="91">
        <v>9.16</v>
      </c>
      <c r="I1196" s="117" t="s">
        <v>1193</v>
      </c>
      <c r="J1196" s="91">
        <f>ROUND(H1196*G1196,2)</f>
        <v>9.34</v>
      </c>
      <c r="K1196" s="91"/>
      <c r="L1196" s="91"/>
      <c r="M1196" s="91"/>
      <c r="N1196" s="91"/>
      <c r="O1196" s="91"/>
      <c r="P1196" s="91"/>
      <c r="Q1196" s="91"/>
      <c r="R1196" s="25"/>
    </row>
    <row r="1197" spans="1:18" x14ac:dyDescent="0.25">
      <c r="A1197" s="163"/>
      <c r="B1197" s="101"/>
      <c r="C1197" s="101"/>
      <c r="D1197" s="101"/>
      <c r="E1197" s="102"/>
      <c r="F1197" s="101"/>
      <c r="G1197" s="96"/>
      <c r="H1197" s="96"/>
      <c r="I1197" s="169" t="s">
        <v>1193</v>
      </c>
      <c r="J1197" s="96"/>
      <c r="K1197" s="96"/>
      <c r="L1197" s="96"/>
      <c r="M1197" s="96"/>
      <c r="N1197" s="96"/>
      <c r="O1197" s="96"/>
      <c r="P1197" s="96"/>
      <c r="Q1197" s="96"/>
      <c r="R1197" s="25"/>
    </row>
    <row r="1198" spans="1:18" s="25" customFormat="1" x14ac:dyDescent="0.25">
      <c r="A1198" s="149"/>
      <c r="B1198" s="148"/>
      <c r="C1198" s="148"/>
      <c r="D1198" s="143" t="s">
        <v>995</v>
      </c>
      <c r="E1198" s="144" t="s">
        <v>1006</v>
      </c>
      <c r="F1198" s="143" t="s">
        <v>39</v>
      </c>
      <c r="G1198" s="146"/>
      <c r="H1198" s="146"/>
      <c r="I1198" s="146">
        <v>0.67</v>
      </c>
      <c r="J1198" s="146">
        <f>SUM(J1199:J1201)</f>
        <v>17.350000000000001</v>
      </c>
      <c r="K1198" s="146">
        <f>SUM(K1199:K1201)</f>
        <v>5.6899999999999995</v>
      </c>
      <c r="L1198" s="146">
        <f>J1198+K1198</f>
        <v>23.04</v>
      </c>
      <c r="M1198" s="146">
        <f>I1198*J1198</f>
        <v>11.624500000000001</v>
      </c>
      <c r="N1198" s="146">
        <f>I1198*K1198</f>
        <v>3.8123</v>
      </c>
      <c r="O1198" s="146">
        <f>M1198+N1198</f>
        <v>15.436800000000002</v>
      </c>
      <c r="P1198" s="146">
        <f>O1198*$P$1</f>
        <v>3.9610828800000002</v>
      </c>
      <c r="Q1198" s="146">
        <f>P1198+O1198</f>
        <v>19.397882880000001</v>
      </c>
    </row>
    <row r="1199" spans="1:18" x14ac:dyDescent="0.25">
      <c r="A1199" s="134" t="s">
        <v>22</v>
      </c>
      <c r="B1199" s="92"/>
      <c r="C1199" s="92">
        <v>88247</v>
      </c>
      <c r="D1199" s="92"/>
      <c r="E1199" s="93" t="s">
        <v>599</v>
      </c>
      <c r="F1199" s="92" t="s">
        <v>29</v>
      </c>
      <c r="G1199" s="94">
        <v>0.13</v>
      </c>
      <c r="H1199" s="94">
        <f>H825</f>
        <v>19.100000000000001</v>
      </c>
      <c r="I1199" s="116" t="s">
        <v>1193</v>
      </c>
      <c r="J1199" s="94"/>
      <c r="K1199" s="94">
        <f>ROUND(G1199*H1199,2)</f>
        <v>2.48</v>
      </c>
      <c r="L1199" s="94"/>
      <c r="M1199" s="94"/>
      <c r="N1199" s="94"/>
      <c r="O1199" s="94"/>
      <c r="P1199" s="94"/>
      <c r="Q1199" s="94"/>
      <c r="R1199" s="25"/>
    </row>
    <row r="1200" spans="1:18" x14ac:dyDescent="0.25">
      <c r="A1200" s="133" t="s">
        <v>22</v>
      </c>
      <c r="B1200" s="89"/>
      <c r="C1200" s="89">
        <v>88264</v>
      </c>
      <c r="D1200" s="89"/>
      <c r="E1200" s="90" t="s">
        <v>594</v>
      </c>
      <c r="F1200" s="89" t="s">
        <v>29</v>
      </c>
      <c r="G1200" s="91">
        <v>0.13</v>
      </c>
      <c r="H1200" s="91">
        <f>H826</f>
        <v>24.73</v>
      </c>
      <c r="I1200" s="117" t="s">
        <v>1193</v>
      </c>
      <c r="J1200" s="91"/>
      <c r="K1200" s="91">
        <f>ROUND(G1200*H1200,2)</f>
        <v>3.21</v>
      </c>
      <c r="L1200" s="91"/>
      <c r="M1200" s="91"/>
      <c r="N1200" s="91"/>
      <c r="O1200" s="91"/>
      <c r="P1200" s="91"/>
      <c r="Q1200" s="91"/>
      <c r="R1200" s="25"/>
    </row>
    <row r="1201" spans="1:18" x14ac:dyDescent="0.25">
      <c r="A1201" s="134" t="s">
        <v>22</v>
      </c>
      <c r="B1201" s="92"/>
      <c r="C1201" s="92">
        <v>34621</v>
      </c>
      <c r="D1201" s="92"/>
      <c r="E1201" s="93" t="str">
        <f>E1198</f>
        <v>Cabo PP 3 condutores 4 mm²</v>
      </c>
      <c r="F1201" s="92" t="s">
        <v>39</v>
      </c>
      <c r="G1201" s="94">
        <v>1.02</v>
      </c>
      <c r="H1201" s="94">
        <v>17.010000000000002</v>
      </c>
      <c r="I1201" s="116" t="s">
        <v>1193</v>
      </c>
      <c r="J1201" s="94">
        <f>ROUND(H1201*G1201,2)</f>
        <v>17.350000000000001</v>
      </c>
      <c r="K1201" s="94"/>
      <c r="L1201" s="94"/>
      <c r="M1201" s="94"/>
      <c r="N1201" s="94"/>
      <c r="O1201" s="94"/>
      <c r="P1201" s="94"/>
      <c r="Q1201" s="94"/>
      <c r="R1201" s="25"/>
    </row>
    <row r="1202" spans="1:18" x14ac:dyDescent="0.25">
      <c r="A1202" s="159"/>
      <c r="B1202" s="160"/>
      <c r="C1202" s="160"/>
      <c r="D1202" s="160"/>
      <c r="E1202" s="161"/>
      <c r="F1202" s="160"/>
      <c r="G1202" s="162"/>
      <c r="H1202" s="162"/>
      <c r="I1202" s="170" t="s">
        <v>1193</v>
      </c>
      <c r="J1202" s="162"/>
      <c r="K1202" s="162"/>
      <c r="L1202" s="162"/>
      <c r="M1202" s="162"/>
      <c r="N1202" s="162"/>
      <c r="O1202" s="162"/>
      <c r="P1202" s="162"/>
      <c r="Q1202" s="162"/>
      <c r="R1202" s="25"/>
    </row>
    <row r="1203" spans="1:18" s="25" customFormat="1" x14ac:dyDescent="0.25">
      <c r="A1203" s="149"/>
      <c r="B1203" s="148"/>
      <c r="C1203" s="148"/>
      <c r="D1203" s="143" t="s">
        <v>998</v>
      </c>
      <c r="E1203" s="144" t="s">
        <v>1008</v>
      </c>
      <c r="F1203" s="143" t="s">
        <v>39</v>
      </c>
      <c r="G1203" s="146"/>
      <c r="H1203" s="146"/>
      <c r="I1203" s="146">
        <v>0.67</v>
      </c>
      <c r="J1203" s="146">
        <f>SUM(J1204:J1206)</f>
        <v>22.14</v>
      </c>
      <c r="K1203" s="146">
        <f>SUM(K1204:K1206)</f>
        <v>6.13</v>
      </c>
      <c r="L1203" s="146">
        <f>J1203+K1203</f>
        <v>28.27</v>
      </c>
      <c r="M1203" s="146">
        <f>I1203*J1203</f>
        <v>14.833800000000002</v>
      </c>
      <c r="N1203" s="146">
        <f>I1203*K1203</f>
        <v>4.1071</v>
      </c>
      <c r="O1203" s="146">
        <f>M1203+N1203</f>
        <v>18.940900000000003</v>
      </c>
      <c r="P1203" s="146">
        <f>O1203*$P$1</f>
        <v>4.8602349400000007</v>
      </c>
      <c r="Q1203" s="146">
        <f>P1203+O1203</f>
        <v>23.801134940000004</v>
      </c>
    </row>
    <row r="1204" spans="1:18" x14ac:dyDescent="0.25">
      <c r="A1204" s="133" t="s">
        <v>22</v>
      </c>
      <c r="B1204" s="89"/>
      <c r="C1204" s="89">
        <v>88247</v>
      </c>
      <c r="D1204" s="89"/>
      <c r="E1204" s="90" t="s">
        <v>599</v>
      </c>
      <c r="F1204" s="89" t="s">
        <v>29</v>
      </c>
      <c r="G1204" s="91">
        <v>0.14000000000000001</v>
      </c>
      <c r="H1204" s="91">
        <f>H825</f>
        <v>19.100000000000001</v>
      </c>
      <c r="I1204" s="117" t="s">
        <v>1193</v>
      </c>
      <c r="J1204" s="91"/>
      <c r="K1204" s="91">
        <f>ROUND(G1204*H1204,2)</f>
        <v>2.67</v>
      </c>
      <c r="L1204" s="91"/>
      <c r="M1204" s="91"/>
      <c r="N1204" s="91"/>
      <c r="O1204" s="91"/>
      <c r="P1204" s="91"/>
      <c r="Q1204" s="91"/>
      <c r="R1204" s="25"/>
    </row>
    <row r="1205" spans="1:18" x14ac:dyDescent="0.25">
      <c r="A1205" s="134" t="s">
        <v>22</v>
      </c>
      <c r="B1205" s="92"/>
      <c r="C1205" s="92">
        <v>88264</v>
      </c>
      <c r="D1205" s="92"/>
      <c r="E1205" s="93" t="s">
        <v>594</v>
      </c>
      <c r="F1205" s="92" t="s">
        <v>29</v>
      </c>
      <c r="G1205" s="94">
        <v>0.14000000000000001</v>
      </c>
      <c r="H1205" s="94">
        <f>H826</f>
        <v>24.73</v>
      </c>
      <c r="I1205" s="116" t="s">
        <v>1193</v>
      </c>
      <c r="J1205" s="94"/>
      <c r="K1205" s="94">
        <f>ROUND(G1205*H1205,2)</f>
        <v>3.46</v>
      </c>
      <c r="L1205" s="94"/>
      <c r="M1205" s="94"/>
      <c r="N1205" s="94"/>
      <c r="O1205" s="94"/>
      <c r="P1205" s="94"/>
      <c r="Q1205" s="94"/>
      <c r="R1205" s="25"/>
    </row>
    <row r="1206" spans="1:18" x14ac:dyDescent="0.25">
      <c r="A1206" s="133" t="s">
        <v>22</v>
      </c>
      <c r="B1206" s="89"/>
      <c r="C1206" s="89">
        <v>34627</v>
      </c>
      <c r="D1206" s="89"/>
      <c r="E1206" s="90" t="str">
        <f>E1203</f>
        <v>Cabo PP 4 condutores 4 mm²</v>
      </c>
      <c r="F1206" s="89" t="s">
        <v>39</v>
      </c>
      <c r="G1206" s="91">
        <v>1.02</v>
      </c>
      <c r="H1206" s="91">
        <v>21.71</v>
      </c>
      <c r="I1206" s="117" t="s">
        <v>1193</v>
      </c>
      <c r="J1206" s="91">
        <f>ROUND(H1206*G1206,2)</f>
        <v>22.14</v>
      </c>
      <c r="K1206" s="91"/>
      <c r="L1206" s="91"/>
      <c r="M1206" s="91"/>
      <c r="N1206" s="91"/>
      <c r="O1206" s="91"/>
      <c r="P1206" s="91"/>
      <c r="Q1206" s="91"/>
      <c r="R1206" s="25"/>
    </row>
    <row r="1207" spans="1:18" x14ac:dyDescent="0.25">
      <c r="A1207" s="163"/>
      <c r="B1207" s="101"/>
      <c r="C1207" s="101"/>
      <c r="D1207" s="101"/>
      <c r="E1207" s="102"/>
      <c r="F1207" s="101"/>
      <c r="G1207" s="96"/>
      <c r="H1207" s="96"/>
      <c r="I1207" s="169" t="s">
        <v>1193</v>
      </c>
      <c r="J1207" s="96"/>
      <c r="K1207" s="96"/>
      <c r="L1207" s="96"/>
      <c r="M1207" s="96"/>
      <c r="N1207" s="96"/>
      <c r="O1207" s="96"/>
      <c r="P1207" s="96"/>
      <c r="Q1207" s="96"/>
      <c r="R1207" s="25"/>
    </row>
    <row r="1208" spans="1:18" s="25" customFormat="1" x14ac:dyDescent="0.25">
      <c r="A1208" s="149"/>
      <c r="B1208" s="148"/>
      <c r="C1208" s="148"/>
      <c r="D1208" s="143" t="s">
        <v>1001</v>
      </c>
      <c r="E1208" s="144" t="s">
        <v>1010</v>
      </c>
      <c r="F1208" s="143" t="s">
        <v>39</v>
      </c>
      <c r="G1208" s="146"/>
      <c r="H1208" s="146"/>
      <c r="I1208" s="146">
        <v>0.67</v>
      </c>
      <c r="J1208" s="146">
        <f>SUM(J1209:J1211)</f>
        <v>33.479999999999997</v>
      </c>
      <c r="K1208" s="146">
        <f>SUM(K1209:K1211)</f>
        <v>5.6899999999999995</v>
      </c>
      <c r="L1208" s="146">
        <f>J1208+K1208</f>
        <v>39.169999999999995</v>
      </c>
      <c r="M1208" s="146">
        <f>I1208*J1208</f>
        <v>22.4316</v>
      </c>
      <c r="N1208" s="146">
        <f>I1208*K1208</f>
        <v>3.8123</v>
      </c>
      <c r="O1208" s="146">
        <f>M1208+N1208</f>
        <v>26.2439</v>
      </c>
      <c r="P1208" s="146">
        <f>O1208*$P$1</f>
        <v>6.7341847399999999</v>
      </c>
      <c r="Q1208" s="146">
        <f>P1208+O1208</f>
        <v>32.97808474</v>
      </c>
    </row>
    <row r="1209" spans="1:18" x14ac:dyDescent="0.25">
      <c r="A1209" s="134" t="s">
        <v>22</v>
      </c>
      <c r="B1209" s="92"/>
      <c r="C1209" s="92">
        <v>88247</v>
      </c>
      <c r="D1209" s="92"/>
      <c r="E1209" s="93" t="s">
        <v>599</v>
      </c>
      <c r="F1209" s="92" t="s">
        <v>29</v>
      </c>
      <c r="G1209" s="94">
        <v>0.13</v>
      </c>
      <c r="H1209" s="94">
        <f>H825</f>
        <v>19.100000000000001</v>
      </c>
      <c r="I1209" s="116" t="s">
        <v>1193</v>
      </c>
      <c r="J1209" s="94"/>
      <c r="K1209" s="94">
        <f>ROUND(G1209*H1209,2)</f>
        <v>2.48</v>
      </c>
      <c r="L1209" s="94"/>
      <c r="M1209" s="94"/>
      <c r="N1209" s="94"/>
      <c r="O1209" s="94"/>
      <c r="P1209" s="94"/>
      <c r="Q1209" s="94"/>
      <c r="R1209" s="25"/>
    </row>
    <row r="1210" spans="1:18" x14ac:dyDescent="0.25">
      <c r="A1210" s="133" t="s">
        <v>22</v>
      </c>
      <c r="B1210" s="89"/>
      <c r="C1210" s="89">
        <v>88264</v>
      </c>
      <c r="D1210" s="89"/>
      <c r="E1210" s="90" t="s">
        <v>594</v>
      </c>
      <c r="F1210" s="89" t="s">
        <v>29</v>
      </c>
      <c r="G1210" s="91">
        <v>0.13</v>
      </c>
      <c r="H1210" s="91">
        <f>H826</f>
        <v>24.73</v>
      </c>
      <c r="I1210" s="117" t="s">
        <v>1193</v>
      </c>
      <c r="J1210" s="91"/>
      <c r="K1210" s="91">
        <f>ROUND(G1210*H1210,2)</f>
        <v>3.21</v>
      </c>
      <c r="L1210" s="91"/>
      <c r="M1210" s="91"/>
      <c r="N1210" s="91"/>
      <c r="O1210" s="91"/>
      <c r="P1210" s="91"/>
      <c r="Q1210" s="91"/>
      <c r="R1210" s="25"/>
    </row>
    <row r="1211" spans="1:18" x14ac:dyDescent="0.25">
      <c r="A1211" s="134" t="s">
        <v>22</v>
      </c>
      <c r="B1211" s="92"/>
      <c r="C1211" s="92">
        <v>863</v>
      </c>
      <c r="D1211" s="92"/>
      <c r="E1211" s="93" t="str">
        <f>E1208</f>
        <v>Cabo de cobre nu 35 mm²</v>
      </c>
      <c r="F1211" s="92" t="s">
        <v>39</v>
      </c>
      <c r="G1211" s="94">
        <v>1</v>
      </c>
      <c r="H1211" s="94">
        <v>33.479999999999997</v>
      </c>
      <c r="I1211" s="116" t="s">
        <v>1193</v>
      </c>
      <c r="J1211" s="94">
        <f>ROUND(H1211*G1211,2)</f>
        <v>33.479999999999997</v>
      </c>
      <c r="K1211" s="94"/>
      <c r="L1211" s="94"/>
      <c r="M1211" s="94"/>
      <c r="N1211" s="94"/>
      <c r="O1211" s="94"/>
      <c r="P1211" s="94"/>
      <c r="Q1211" s="94"/>
      <c r="R1211" s="25"/>
    </row>
    <row r="1212" spans="1:18" x14ac:dyDescent="0.25">
      <c r="A1212" s="159"/>
      <c r="B1212" s="160"/>
      <c r="C1212" s="160"/>
      <c r="D1212" s="160"/>
      <c r="E1212" s="161"/>
      <c r="F1212" s="160"/>
      <c r="G1212" s="162"/>
      <c r="H1212" s="162"/>
      <c r="I1212" s="170" t="s">
        <v>1193</v>
      </c>
      <c r="J1212" s="162"/>
      <c r="K1212" s="162"/>
      <c r="L1212" s="162"/>
      <c r="M1212" s="162"/>
      <c r="N1212" s="162"/>
      <c r="O1212" s="162"/>
      <c r="P1212" s="162"/>
      <c r="Q1212" s="162"/>
      <c r="R1212" s="25"/>
    </row>
    <row r="1213" spans="1:18" s="25" customFormat="1" x14ac:dyDescent="0.25">
      <c r="A1213" s="149"/>
      <c r="B1213" s="148"/>
      <c r="C1213" s="148"/>
      <c r="D1213" s="143" t="s">
        <v>1003</v>
      </c>
      <c r="E1213" s="144" t="s">
        <v>1011</v>
      </c>
      <c r="F1213" s="143" t="s">
        <v>39</v>
      </c>
      <c r="G1213" s="146"/>
      <c r="H1213" s="146"/>
      <c r="I1213" s="146">
        <v>0.67</v>
      </c>
      <c r="J1213" s="146">
        <f>ROUND(SUM(J1214:J1216),2)</f>
        <v>1.58</v>
      </c>
      <c r="K1213" s="146">
        <f>ROUND(SUM(K1214:K1215),2)</f>
        <v>4.38</v>
      </c>
      <c r="L1213" s="146">
        <f>J1213+K1213</f>
        <v>5.96</v>
      </c>
      <c r="M1213" s="146">
        <f>I1213*J1213</f>
        <v>1.0586000000000002</v>
      </c>
      <c r="N1213" s="146">
        <f>I1213*K1213</f>
        <v>2.9346000000000001</v>
      </c>
      <c r="O1213" s="146">
        <f>M1213+N1213</f>
        <v>3.9932000000000003</v>
      </c>
      <c r="P1213" s="146">
        <f>O1213*$P$1</f>
        <v>1.02465512</v>
      </c>
      <c r="Q1213" s="146">
        <f>P1213+O1213</f>
        <v>5.0178551200000001</v>
      </c>
    </row>
    <row r="1214" spans="1:18" x14ac:dyDescent="0.25">
      <c r="A1214" s="133" t="s">
        <v>22</v>
      </c>
      <c r="B1214" s="89"/>
      <c r="C1214" s="89">
        <v>88247</v>
      </c>
      <c r="D1214" s="89"/>
      <c r="E1214" s="90" t="s">
        <v>599</v>
      </c>
      <c r="F1214" s="89" t="s">
        <v>29</v>
      </c>
      <c r="G1214" s="91">
        <v>0.1</v>
      </c>
      <c r="H1214" s="91">
        <f>H825</f>
        <v>19.100000000000001</v>
      </c>
      <c r="I1214" s="117" t="s">
        <v>1193</v>
      </c>
      <c r="J1214" s="91"/>
      <c r="K1214" s="91">
        <f>ROUND(G1214*H1214,2)</f>
        <v>1.91</v>
      </c>
      <c r="L1214" s="91"/>
      <c r="M1214" s="91"/>
      <c r="N1214" s="91"/>
      <c r="O1214" s="91"/>
      <c r="P1214" s="91"/>
      <c r="Q1214" s="91"/>
      <c r="R1214" s="25"/>
    </row>
    <row r="1215" spans="1:18" x14ac:dyDescent="0.25">
      <c r="A1215" s="134" t="s">
        <v>22</v>
      </c>
      <c r="B1215" s="92"/>
      <c r="C1215" s="92">
        <v>88264</v>
      </c>
      <c r="D1215" s="92"/>
      <c r="E1215" s="93" t="s">
        <v>594</v>
      </c>
      <c r="F1215" s="92" t="s">
        <v>29</v>
      </c>
      <c r="G1215" s="94">
        <v>0.1</v>
      </c>
      <c r="H1215" s="94">
        <f>H826</f>
        <v>24.73</v>
      </c>
      <c r="I1215" s="116" t="s">
        <v>1193</v>
      </c>
      <c r="J1215" s="94"/>
      <c r="K1215" s="94">
        <f>ROUND(G1215*H1215,2)</f>
        <v>2.4700000000000002</v>
      </c>
      <c r="L1215" s="94"/>
      <c r="M1215" s="94"/>
      <c r="N1215" s="94"/>
      <c r="O1215" s="94"/>
      <c r="P1215" s="94"/>
      <c r="Q1215" s="94"/>
      <c r="R1215" s="25"/>
    </row>
    <row r="1216" spans="1:18" x14ac:dyDescent="0.25">
      <c r="A1216" s="252" t="s">
        <v>877</v>
      </c>
      <c r="B1216" s="89"/>
      <c r="C1216" s="99"/>
      <c r="D1216" s="89"/>
      <c r="E1216" s="90" t="str">
        <f>E1213</f>
        <v>Cabo paralelo  polarizado 2 vias 0,75 mm²</v>
      </c>
      <c r="F1216" s="89" t="s">
        <v>1215</v>
      </c>
      <c r="G1216" s="91">
        <v>1</v>
      </c>
      <c r="H1216" s="342">
        <f>'MAPA COTAÇÕES ELÉTRICA'!L20</f>
        <v>1.58</v>
      </c>
      <c r="I1216" s="253" t="s">
        <v>1193</v>
      </c>
      <c r="J1216" s="193">
        <f>ROUND(H1216*G1216,2)</f>
        <v>1.58</v>
      </c>
      <c r="K1216" s="193"/>
      <c r="L1216" s="193"/>
      <c r="M1216" s="193"/>
      <c r="N1216" s="193"/>
      <c r="O1216" s="193"/>
      <c r="P1216" s="193"/>
      <c r="Q1216" s="193"/>
      <c r="R1216" s="25"/>
    </row>
    <row r="1217" spans="1:18" x14ac:dyDescent="0.25">
      <c r="A1217" s="163"/>
      <c r="B1217" s="101"/>
      <c r="C1217" s="101"/>
      <c r="D1217" s="101"/>
      <c r="E1217" s="102"/>
      <c r="F1217" s="101"/>
      <c r="G1217" s="96"/>
      <c r="H1217" s="96"/>
      <c r="I1217" s="169" t="s">
        <v>1193</v>
      </c>
      <c r="J1217" s="96"/>
      <c r="K1217" s="96"/>
      <c r="L1217" s="96"/>
      <c r="M1217" s="96"/>
      <c r="N1217" s="96"/>
      <c r="O1217" s="96"/>
      <c r="P1217" s="96"/>
      <c r="Q1217" s="96"/>
      <c r="R1217" s="25"/>
    </row>
    <row r="1218" spans="1:18" s="25" customFormat="1" ht="30" x14ac:dyDescent="0.25">
      <c r="A1218" s="149"/>
      <c r="B1218" s="148"/>
      <c r="C1218" s="148"/>
      <c r="D1218" s="143" t="s">
        <v>1005</v>
      </c>
      <c r="E1218" s="144" t="s">
        <v>1013</v>
      </c>
      <c r="F1218" s="143" t="s">
        <v>1215</v>
      </c>
      <c r="G1218" s="146"/>
      <c r="H1218" s="146"/>
      <c r="I1218" s="146">
        <v>1</v>
      </c>
      <c r="J1218" s="146">
        <f>SUM(J1219:J1221)</f>
        <v>2.69</v>
      </c>
      <c r="K1218" s="146">
        <f>SUM(K1219:K1221)</f>
        <v>2.2000000000000002</v>
      </c>
      <c r="L1218" s="146">
        <f>J1218+K1218</f>
        <v>4.8900000000000006</v>
      </c>
      <c r="M1218" s="146">
        <f>I1218*J1218</f>
        <v>2.69</v>
      </c>
      <c r="N1218" s="146">
        <f>I1218*K1218</f>
        <v>2.2000000000000002</v>
      </c>
      <c r="O1218" s="146">
        <f>M1218+N1218</f>
        <v>4.8900000000000006</v>
      </c>
      <c r="P1218" s="146">
        <f>O1218*$P$1</f>
        <v>1.2547740000000001</v>
      </c>
      <c r="Q1218" s="146">
        <f>P1218+O1218</f>
        <v>6.1447740000000008</v>
      </c>
    </row>
    <row r="1219" spans="1:18" x14ac:dyDescent="0.25">
      <c r="A1219" s="134" t="s">
        <v>22</v>
      </c>
      <c r="B1219" s="92"/>
      <c r="C1219" s="92">
        <v>88247</v>
      </c>
      <c r="D1219" s="92"/>
      <c r="E1219" s="93" t="s">
        <v>599</v>
      </c>
      <c r="F1219" s="92" t="s">
        <v>29</v>
      </c>
      <c r="G1219" s="94">
        <v>0.05</v>
      </c>
      <c r="H1219" s="94">
        <f>H825</f>
        <v>19.100000000000001</v>
      </c>
      <c r="I1219" s="116" t="s">
        <v>1193</v>
      </c>
      <c r="J1219" s="94"/>
      <c r="K1219" s="94">
        <f>ROUND(G1219*H1219,2)</f>
        <v>0.96</v>
      </c>
      <c r="L1219" s="94"/>
      <c r="M1219" s="94"/>
      <c r="N1219" s="94"/>
      <c r="O1219" s="94"/>
      <c r="P1219" s="94"/>
      <c r="Q1219" s="94"/>
      <c r="R1219" s="25"/>
    </row>
    <row r="1220" spans="1:18" x14ac:dyDescent="0.25">
      <c r="A1220" s="133" t="s">
        <v>22</v>
      </c>
      <c r="B1220" s="89"/>
      <c r="C1220" s="89">
        <v>88264</v>
      </c>
      <c r="D1220" s="89"/>
      <c r="E1220" s="90" t="s">
        <v>594</v>
      </c>
      <c r="F1220" s="89" t="s">
        <v>29</v>
      </c>
      <c r="G1220" s="91">
        <v>0.05</v>
      </c>
      <c r="H1220" s="91">
        <f>H826</f>
        <v>24.73</v>
      </c>
      <c r="I1220" s="117" t="s">
        <v>1193</v>
      </c>
      <c r="J1220" s="91"/>
      <c r="K1220" s="91">
        <f>ROUND(G1220*H1220,2)</f>
        <v>1.24</v>
      </c>
      <c r="L1220" s="91"/>
      <c r="M1220" s="91"/>
      <c r="N1220" s="91"/>
      <c r="O1220" s="91"/>
      <c r="P1220" s="91"/>
      <c r="Q1220" s="91"/>
      <c r="R1220" s="25"/>
    </row>
    <row r="1221" spans="1:18" ht="30" x14ac:dyDescent="0.25">
      <c r="A1221" s="134" t="s">
        <v>22</v>
      </c>
      <c r="B1221" s="92"/>
      <c r="C1221" s="92">
        <v>1577</v>
      </c>
      <c r="D1221" s="92"/>
      <c r="E1221" s="95" t="str">
        <f>E1218</f>
        <v>Terminais de compressão, luvas de emenda, Split Bolt / Forquilha / Pino / Olhal / Agulha - 10 a 35 mm³</v>
      </c>
      <c r="F1221" s="92" t="s">
        <v>1215</v>
      </c>
      <c r="G1221" s="94">
        <v>1</v>
      </c>
      <c r="H1221" s="94">
        <v>2.69</v>
      </c>
      <c r="I1221" s="116" t="s">
        <v>1193</v>
      </c>
      <c r="J1221" s="94">
        <f>ROUND(H1221*G1221,2)</f>
        <v>2.69</v>
      </c>
      <c r="K1221" s="94"/>
      <c r="L1221" s="94"/>
      <c r="M1221" s="94"/>
      <c r="N1221" s="94"/>
      <c r="O1221" s="94"/>
      <c r="P1221" s="94"/>
      <c r="Q1221" s="94"/>
      <c r="R1221" s="25"/>
    </row>
    <row r="1222" spans="1:18" x14ac:dyDescent="0.25">
      <c r="A1222" s="159"/>
      <c r="B1222" s="160"/>
      <c r="C1222" s="160"/>
      <c r="D1222" s="160"/>
      <c r="E1222" s="161"/>
      <c r="F1222" s="160"/>
      <c r="G1222" s="162"/>
      <c r="H1222" s="162"/>
      <c r="I1222" s="170" t="s">
        <v>1193</v>
      </c>
      <c r="J1222" s="162"/>
      <c r="K1222" s="162"/>
      <c r="L1222" s="162"/>
      <c r="M1222" s="162"/>
      <c r="N1222" s="162"/>
      <c r="O1222" s="162"/>
      <c r="P1222" s="162"/>
      <c r="Q1222" s="162"/>
      <c r="R1222" s="25"/>
    </row>
    <row r="1223" spans="1:18" s="25" customFormat="1" ht="30" x14ac:dyDescent="0.25">
      <c r="A1223" s="149"/>
      <c r="B1223" s="148"/>
      <c r="C1223" s="148"/>
      <c r="D1223" s="143" t="s">
        <v>1007</v>
      </c>
      <c r="E1223" s="144" t="s">
        <v>1014</v>
      </c>
      <c r="F1223" s="143" t="s">
        <v>1215</v>
      </c>
      <c r="G1223" s="146"/>
      <c r="H1223" s="146"/>
      <c r="I1223" s="146">
        <v>1</v>
      </c>
      <c r="J1223" s="146">
        <f>SUM(J1224:J1226)</f>
        <v>4.67</v>
      </c>
      <c r="K1223" s="146">
        <f>SUM(K1224:K1226)</f>
        <v>3.0700000000000003</v>
      </c>
      <c r="L1223" s="146">
        <f>J1223+K1223</f>
        <v>7.74</v>
      </c>
      <c r="M1223" s="146">
        <f>I1223*J1223</f>
        <v>4.67</v>
      </c>
      <c r="N1223" s="146">
        <f>I1223*K1223</f>
        <v>3.0700000000000003</v>
      </c>
      <c r="O1223" s="146">
        <f>M1223+N1223</f>
        <v>7.74</v>
      </c>
      <c r="P1223" s="146">
        <f>O1223*$P$1</f>
        <v>1.986084</v>
      </c>
      <c r="Q1223" s="146">
        <f>P1223+O1223</f>
        <v>9.7260840000000002</v>
      </c>
    </row>
    <row r="1224" spans="1:18" x14ac:dyDescent="0.25">
      <c r="A1224" s="133" t="s">
        <v>22</v>
      </c>
      <c r="B1224" s="89"/>
      <c r="C1224" s="89">
        <v>88247</v>
      </c>
      <c r="D1224" s="89"/>
      <c r="E1224" s="90" t="s">
        <v>599</v>
      </c>
      <c r="F1224" s="89" t="s">
        <v>29</v>
      </c>
      <c r="G1224" s="91">
        <v>7.0000000000000007E-2</v>
      </c>
      <c r="H1224" s="91">
        <f>H825</f>
        <v>19.100000000000001</v>
      </c>
      <c r="I1224" s="117" t="s">
        <v>1193</v>
      </c>
      <c r="J1224" s="91"/>
      <c r="K1224" s="91">
        <f>ROUND(G1224*H1224,2)</f>
        <v>1.34</v>
      </c>
      <c r="L1224" s="91"/>
      <c r="M1224" s="91"/>
      <c r="N1224" s="91"/>
      <c r="O1224" s="91"/>
      <c r="P1224" s="91"/>
      <c r="Q1224" s="91"/>
      <c r="R1224" s="25"/>
    </row>
    <row r="1225" spans="1:18" x14ac:dyDescent="0.25">
      <c r="A1225" s="134" t="s">
        <v>22</v>
      </c>
      <c r="B1225" s="92"/>
      <c r="C1225" s="92">
        <v>88264</v>
      </c>
      <c r="D1225" s="92"/>
      <c r="E1225" s="93" t="s">
        <v>594</v>
      </c>
      <c r="F1225" s="92" t="s">
        <v>29</v>
      </c>
      <c r="G1225" s="94">
        <v>7.0000000000000007E-2</v>
      </c>
      <c r="H1225" s="94">
        <f>H826</f>
        <v>24.73</v>
      </c>
      <c r="I1225" s="116" t="s">
        <v>1193</v>
      </c>
      <c r="J1225" s="94"/>
      <c r="K1225" s="94">
        <f>ROUND(G1225*H1225,2)</f>
        <v>1.73</v>
      </c>
      <c r="L1225" s="94"/>
      <c r="M1225" s="94"/>
      <c r="N1225" s="94"/>
      <c r="O1225" s="94"/>
      <c r="P1225" s="94"/>
      <c r="Q1225" s="94"/>
      <c r="R1225" s="25"/>
    </row>
    <row r="1226" spans="1:18" ht="30" x14ac:dyDescent="0.25">
      <c r="A1226" s="133" t="s">
        <v>22</v>
      </c>
      <c r="B1226" s="89"/>
      <c r="C1226" s="89">
        <v>1578</v>
      </c>
      <c r="D1226" s="89"/>
      <c r="E1226" s="100" t="str">
        <f>E1223</f>
        <v>Terminais de compressão, luvas de emenda, Split Bolt / Forquilha / Pino / Olhal / Agulha 50 a 95mm³</v>
      </c>
      <c r="F1226" s="89" t="s">
        <v>1215</v>
      </c>
      <c r="G1226" s="91">
        <v>1</v>
      </c>
      <c r="H1226" s="91">
        <v>4.67</v>
      </c>
      <c r="I1226" s="117" t="s">
        <v>1193</v>
      </c>
      <c r="J1226" s="91">
        <f>ROUND(H1226*G1226,2)</f>
        <v>4.67</v>
      </c>
      <c r="K1226" s="91"/>
      <c r="L1226" s="91"/>
      <c r="M1226" s="91"/>
      <c r="N1226" s="91"/>
      <c r="O1226" s="91"/>
      <c r="P1226" s="91"/>
      <c r="Q1226" s="91"/>
      <c r="R1226" s="25"/>
    </row>
    <row r="1227" spans="1:18" x14ac:dyDescent="0.25">
      <c r="A1227" s="163"/>
      <c r="B1227" s="101"/>
      <c r="C1227" s="101"/>
      <c r="D1227" s="101"/>
      <c r="E1227" s="102"/>
      <c r="F1227" s="101"/>
      <c r="G1227" s="96"/>
      <c r="H1227" s="96"/>
      <c r="I1227" s="169" t="s">
        <v>1193</v>
      </c>
      <c r="J1227" s="96"/>
      <c r="K1227" s="96"/>
      <c r="L1227" s="96"/>
      <c r="M1227" s="96"/>
      <c r="N1227" s="96"/>
      <c r="O1227" s="96"/>
      <c r="P1227" s="96"/>
      <c r="Q1227" s="96"/>
      <c r="R1227" s="25"/>
    </row>
    <row r="1228" spans="1:18" s="25" customFormat="1" x14ac:dyDescent="0.25">
      <c r="A1228" s="149"/>
      <c r="B1228" s="148"/>
      <c r="C1228" s="148"/>
      <c r="D1228" s="143" t="s">
        <v>1009</v>
      </c>
      <c r="E1228" s="144" t="s">
        <v>1015</v>
      </c>
      <c r="F1228" s="143" t="s">
        <v>1215</v>
      </c>
      <c r="G1228" s="146"/>
      <c r="H1228" s="146"/>
      <c r="I1228" s="146">
        <v>1</v>
      </c>
      <c r="J1228" s="146">
        <f>ROUND(SUM(J1229:J1231),2)</f>
        <v>24.82</v>
      </c>
      <c r="K1228" s="146">
        <f>ROUND(SUM(K1229:K1231),2)</f>
        <v>6.58</v>
      </c>
      <c r="L1228" s="146">
        <f>J1228+K1228</f>
        <v>31.4</v>
      </c>
      <c r="M1228" s="146">
        <f>I1228*J1228</f>
        <v>24.82</v>
      </c>
      <c r="N1228" s="146">
        <f>I1228*K1228</f>
        <v>6.58</v>
      </c>
      <c r="O1228" s="146">
        <f>M1228+N1228</f>
        <v>31.4</v>
      </c>
      <c r="P1228" s="146">
        <f>O1228*$P$1</f>
        <v>8.0572400000000002</v>
      </c>
      <c r="Q1228" s="146">
        <f>P1228+O1228</f>
        <v>39.457239999999999</v>
      </c>
    </row>
    <row r="1229" spans="1:18" x14ac:dyDescent="0.25">
      <c r="A1229" s="134" t="s">
        <v>22</v>
      </c>
      <c r="B1229" s="92"/>
      <c r="C1229" s="92">
        <v>88247</v>
      </c>
      <c r="D1229" s="92"/>
      <c r="E1229" s="93" t="s">
        <v>599</v>
      </c>
      <c r="F1229" s="92" t="s">
        <v>29</v>
      </c>
      <c r="G1229" s="94">
        <v>0.15</v>
      </c>
      <c r="H1229" s="94">
        <f>H825</f>
        <v>19.100000000000001</v>
      </c>
      <c r="I1229" s="116" t="s">
        <v>1193</v>
      </c>
      <c r="J1229" s="94"/>
      <c r="K1229" s="94">
        <f>ROUND(G1229*H1229,2)</f>
        <v>2.87</v>
      </c>
      <c r="L1229" s="94"/>
      <c r="M1229" s="94"/>
      <c r="N1229" s="94"/>
      <c r="O1229" s="94"/>
      <c r="P1229" s="94"/>
      <c r="Q1229" s="94"/>
      <c r="R1229" s="25"/>
    </row>
    <row r="1230" spans="1:18" x14ac:dyDescent="0.25">
      <c r="A1230" s="133" t="s">
        <v>22</v>
      </c>
      <c r="B1230" s="89"/>
      <c r="C1230" s="89">
        <v>88264</v>
      </c>
      <c r="D1230" s="89"/>
      <c r="E1230" s="90" t="s">
        <v>594</v>
      </c>
      <c r="F1230" s="89" t="s">
        <v>29</v>
      </c>
      <c r="G1230" s="91">
        <v>0.15</v>
      </c>
      <c r="H1230" s="91">
        <f>H826</f>
        <v>24.73</v>
      </c>
      <c r="I1230" s="117" t="s">
        <v>1193</v>
      </c>
      <c r="J1230" s="91"/>
      <c r="K1230" s="91">
        <f>ROUND(G1230*H1230,2)</f>
        <v>3.71</v>
      </c>
      <c r="L1230" s="91"/>
      <c r="M1230" s="91"/>
      <c r="N1230" s="91"/>
      <c r="O1230" s="91"/>
      <c r="P1230" s="91"/>
      <c r="Q1230" s="91"/>
      <c r="R1230" s="25"/>
    </row>
    <row r="1231" spans="1:18" x14ac:dyDescent="0.25">
      <c r="A1231" s="134" t="s">
        <v>22</v>
      </c>
      <c r="B1231" s="92"/>
      <c r="C1231" s="92">
        <v>1593</v>
      </c>
      <c r="D1231" s="92"/>
      <c r="E1231" s="95" t="str">
        <f>E1228</f>
        <v>Terminais de compressão maciço longo, padrão copel TCML</v>
      </c>
      <c r="F1231" s="92" t="s">
        <v>1215</v>
      </c>
      <c r="G1231" s="94">
        <v>1</v>
      </c>
      <c r="H1231" s="94">
        <v>24.82</v>
      </c>
      <c r="I1231" s="116" t="s">
        <v>1193</v>
      </c>
      <c r="J1231" s="94">
        <f>ROUND(H1231*G1231,2)</f>
        <v>24.82</v>
      </c>
      <c r="K1231" s="94"/>
      <c r="L1231" s="94"/>
      <c r="M1231" s="94"/>
      <c r="N1231" s="94"/>
      <c r="O1231" s="94"/>
      <c r="P1231" s="94"/>
      <c r="Q1231" s="94"/>
      <c r="R1231" s="25"/>
    </row>
    <row r="1232" spans="1:18" x14ac:dyDescent="0.25">
      <c r="A1232" s="159"/>
      <c r="B1232" s="160"/>
      <c r="C1232" s="160"/>
      <c r="D1232" s="160"/>
      <c r="E1232" s="161"/>
      <c r="F1232" s="160"/>
      <c r="G1232" s="162"/>
      <c r="H1232" s="162"/>
      <c r="I1232" s="170" t="s">
        <v>1193</v>
      </c>
      <c r="J1232" s="162"/>
      <c r="K1232" s="162"/>
      <c r="L1232" s="162"/>
      <c r="M1232" s="162"/>
      <c r="N1232" s="162"/>
      <c r="O1232" s="162"/>
      <c r="P1232" s="162"/>
      <c r="Q1232" s="162"/>
      <c r="R1232" s="25"/>
    </row>
    <row r="1233" spans="1:18" s="25" customFormat="1" ht="15.75" x14ac:dyDescent="0.25">
      <c r="A1233" s="136"/>
      <c r="B1233" s="97"/>
      <c r="C1233" s="97"/>
      <c r="D1233" s="97">
        <v>18</v>
      </c>
      <c r="E1233" s="98" t="s">
        <v>1159</v>
      </c>
      <c r="F1233" s="97"/>
      <c r="G1233" s="97"/>
      <c r="H1233" s="330"/>
      <c r="I1233" s="97" t="s">
        <v>1193</v>
      </c>
      <c r="J1233" s="330"/>
      <c r="K1233" s="330"/>
      <c r="L1233" s="330"/>
      <c r="M1233" s="330"/>
      <c r="N1233" s="330"/>
      <c r="O1233" s="330"/>
      <c r="P1233" s="330"/>
      <c r="Q1233" s="330">
        <f>SUM(Q1234:Q1258)</f>
        <v>1199.8519440000002</v>
      </c>
    </row>
    <row r="1234" spans="1:18" ht="15.75" x14ac:dyDescent="0.25">
      <c r="A1234" s="174"/>
      <c r="B1234" s="175"/>
      <c r="C1234" s="175"/>
      <c r="D1234" s="175"/>
      <c r="E1234" s="176"/>
      <c r="F1234" s="175"/>
      <c r="G1234" s="175"/>
      <c r="H1234" s="177"/>
      <c r="I1234" s="175" t="s">
        <v>1193</v>
      </c>
      <c r="J1234" s="177"/>
      <c r="K1234" s="177"/>
      <c r="L1234" s="177"/>
      <c r="M1234" s="177"/>
      <c r="N1234" s="177"/>
      <c r="O1234" s="177"/>
      <c r="P1234" s="177"/>
      <c r="Q1234" s="177"/>
      <c r="R1234" s="25"/>
    </row>
    <row r="1235" spans="1:18" s="25" customFormat="1" x14ac:dyDescent="0.25">
      <c r="A1235" s="149"/>
      <c r="B1235" s="148"/>
      <c r="C1235" s="148"/>
      <c r="D1235" s="143" t="s">
        <v>1016</v>
      </c>
      <c r="E1235" s="144" t="s">
        <v>1017</v>
      </c>
      <c r="F1235" s="143" t="s">
        <v>1215</v>
      </c>
      <c r="G1235" s="146"/>
      <c r="H1235" s="146"/>
      <c r="I1235" s="146">
        <v>1</v>
      </c>
      <c r="J1235" s="146">
        <f>SUM(J1236:J1238)</f>
        <v>131.80000000000001</v>
      </c>
      <c r="K1235" s="146">
        <f>SUM(K1236:K1238)</f>
        <v>65.75</v>
      </c>
      <c r="L1235" s="146">
        <f>J1235+K1235</f>
        <v>197.55</v>
      </c>
      <c r="M1235" s="146">
        <f>I1235*J1235</f>
        <v>131.80000000000001</v>
      </c>
      <c r="N1235" s="146">
        <f>I1235*K1235</f>
        <v>65.75</v>
      </c>
      <c r="O1235" s="146">
        <f>M1235+N1235</f>
        <v>197.55</v>
      </c>
      <c r="P1235" s="146">
        <f>O1235*$P$1</f>
        <v>50.691330000000001</v>
      </c>
      <c r="Q1235" s="146">
        <f>P1235+O1235</f>
        <v>248.24133</v>
      </c>
    </row>
    <row r="1236" spans="1:18" x14ac:dyDescent="0.25">
      <c r="A1236" s="133" t="s">
        <v>22</v>
      </c>
      <c r="B1236" s="89"/>
      <c r="C1236" s="89">
        <v>88247</v>
      </c>
      <c r="D1236" s="89"/>
      <c r="E1236" s="90" t="s">
        <v>599</v>
      </c>
      <c r="F1236" s="89" t="s">
        <v>29</v>
      </c>
      <c r="G1236" s="91">
        <v>1.5</v>
      </c>
      <c r="H1236" s="91">
        <f>H825</f>
        <v>19.100000000000001</v>
      </c>
      <c r="I1236" s="117" t="s">
        <v>1193</v>
      </c>
      <c r="J1236" s="91"/>
      <c r="K1236" s="91">
        <f>ROUND(G1236*H1236,2)</f>
        <v>28.65</v>
      </c>
      <c r="L1236" s="91"/>
      <c r="M1236" s="91"/>
      <c r="N1236" s="91"/>
      <c r="O1236" s="91"/>
      <c r="P1236" s="91"/>
      <c r="Q1236" s="91"/>
      <c r="R1236" s="25"/>
    </row>
    <row r="1237" spans="1:18" x14ac:dyDescent="0.25">
      <c r="A1237" s="134" t="s">
        <v>22</v>
      </c>
      <c r="B1237" s="92"/>
      <c r="C1237" s="92">
        <v>88264</v>
      </c>
      <c r="D1237" s="92"/>
      <c r="E1237" s="93" t="s">
        <v>594</v>
      </c>
      <c r="F1237" s="92" t="s">
        <v>29</v>
      </c>
      <c r="G1237" s="94">
        <v>1.5</v>
      </c>
      <c r="H1237" s="94">
        <f>H826</f>
        <v>24.73</v>
      </c>
      <c r="I1237" s="116" t="s">
        <v>1193</v>
      </c>
      <c r="J1237" s="94"/>
      <c r="K1237" s="94">
        <f>ROUND(G1237*H1237,2)</f>
        <v>37.1</v>
      </c>
      <c r="L1237" s="94"/>
      <c r="M1237" s="94"/>
      <c r="N1237" s="94"/>
      <c r="O1237" s="94"/>
      <c r="P1237" s="94"/>
      <c r="Q1237" s="94"/>
      <c r="R1237" s="25"/>
    </row>
    <row r="1238" spans="1:18" x14ac:dyDescent="0.25">
      <c r="A1238" s="252" t="s">
        <v>877</v>
      </c>
      <c r="B1238" s="89"/>
      <c r="C1238" s="89"/>
      <c r="D1238" s="89"/>
      <c r="E1238" s="100" t="str">
        <f>E1235</f>
        <v>Caixa CN</v>
      </c>
      <c r="F1238" s="89" t="s">
        <v>1215</v>
      </c>
      <c r="G1238" s="91">
        <v>1</v>
      </c>
      <c r="H1238" s="342">
        <f>'MAPA COTAÇÕES ELÉTRICA'!L21</f>
        <v>131.80000000000001</v>
      </c>
      <c r="I1238" s="253" t="s">
        <v>1193</v>
      </c>
      <c r="J1238" s="193">
        <f>ROUND(H1238*G1238,2)</f>
        <v>131.80000000000001</v>
      </c>
      <c r="K1238" s="193"/>
      <c r="L1238" s="193"/>
      <c r="M1238" s="193"/>
      <c r="N1238" s="193"/>
      <c r="O1238" s="193"/>
      <c r="P1238" s="193"/>
      <c r="Q1238" s="193"/>
      <c r="R1238" s="25"/>
    </row>
    <row r="1239" spans="1:18" x14ac:dyDescent="0.25">
      <c r="A1239" s="163"/>
      <c r="B1239" s="101"/>
      <c r="C1239" s="101"/>
      <c r="D1239" s="101"/>
      <c r="E1239" s="102"/>
      <c r="F1239" s="101"/>
      <c r="G1239" s="96"/>
      <c r="H1239" s="96"/>
      <c r="I1239" s="169" t="s">
        <v>1193</v>
      </c>
      <c r="J1239" s="96"/>
      <c r="K1239" s="96"/>
      <c r="L1239" s="96"/>
      <c r="M1239" s="96"/>
      <c r="N1239" s="96"/>
      <c r="O1239" s="96"/>
      <c r="P1239" s="96"/>
      <c r="Q1239" s="96"/>
      <c r="R1239" s="25"/>
    </row>
    <row r="1240" spans="1:18" s="25" customFormat="1" x14ac:dyDescent="0.25">
      <c r="A1240" s="149"/>
      <c r="B1240" s="148"/>
      <c r="C1240" s="148"/>
      <c r="D1240" s="143" t="s">
        <v>1018</v>
      </c>
      <c r="E1240" s="144" t="s">
        <v>1019</v>
      </c>
      <c r="F1240" s="143" t="s">
        <v>1215</v>
      </c>
      <c r="G1240" s="146"/>
      <c r="H1240" s="146"/>
      <c r="I1240" s="146">
        <v>1</v>
      </c>
      <c r="J1240" s="146">
        <f>SUM(J1241:J1243)</f>
        <v>589.04999999999995</v>
      </c>
      <c r="K1240" s="146">
        <f>SUM(K1241:K1243)</f>
        <v>78.89</v>
      </c>
      <c r="L1240" s="146">
        <f>J1240+K1240</f>
        <v>667.93999999999994</v>
      </c>
      <c r="M1240" s="146">
        <f>I1240*J1240</f>
        <v>589.04999999999995</v>
      </c>
      <c r="N1240" s="146">
        <f>I1240*K1240</f>
        <v>78.89</v>
      </c>
      <c r="O1240" s="146">
        <f>M1240+N1240</f>
        <v>667.93999999999994</v>
      </c>
      <c r="P1240" s="146">
        <f>O1240*$P$1</f>
        <v>171.39340399999998</v>
      </c>
      <c r="Q1240" s="146">
        <f>P1240+O1240</f>
        <v>839.33340399999997</v>
      </c>
    </row>
    <row r="1241" spans="1:18" x14ac:dyDescent="0.25">
      <c r="A1241" s="134" t="s">
        <v>22</v>
      </c>
      <c r="B1241" s="92"/>
      <c r="C1241" s="92">
        <v>88247</v>
      </c>
      <c r="D1241" s="92"/>
      <c r="E1241" s="93" t="s">
        <v>599</v>
      </c>
      <c r="F1241" s="92" t="s">
        <v>29</v>
      </c>
      <c r="G1241" s="94">
        <v>1.8</v>
      </c>
      <c r="H1241" s="94">
        <f>H825</f>
        <v>19.100000000000001</v>
      </c>
      <c r="I1241" s="116" t="s">
        <v>1193</v>
      </c>
      <c r="J1241" s="94"/>
      <c r="K1241" s="94">
        <f>ROUND(G1241*H1241,2)</f>
        <v>34.380000000000003</v>
      </c>
      <c r="L1241" s="94"/>
      <c r="M1241" s="94"/>
      <c r="N1241" s="94"/>
      <c r="O1241" s="94"/>
      <c r="P1241" s="94"/>
      <c r="Q1241" s="94"/>
      <c r="R1241" s="25"/>
    </row>
    <row r="1242" spans="1:18" x14ac:dyDescent="0.25">
      <c r="A1242" s="133" t="s">
        <v>22</v>
      </c>
      <c r="B1242" s="89"/>
      <c r="C1242" s="89">
        <v>88264</v>
      </c>
      <c r="D1242" s="89"/>
      <c r="E1242" s="90" t="s">
        <v>594</v>
      </c>
      <c r="F1242" s="89" t="s">
        <v>29</v>
      </c>
      <c r="G1242" s="91">
        <v>1.8</v>
      </c>
      <c r="H1242" s="91">
        <f>H826</f>
        <v>24.73</v>
      </c>
      <c r="I1242" s="117" t="s">
        <v>1193</v>
      </c>
      <c r="J1242" s="91"/>
      <c r="K1242" s="91">
        <f>ROUND(G1242*H1242,2)</f>
        <v>44.51</v>
      </c>
      <c r="L1242" s="91"/>
      <c r="M1242" s="91"/>
      <c r="N1242" s="91"/>
      <c r="O1242" s="91"/>
      <c r="P1242" s="91"/>
      <c r="Q1242" s="91"/>
      <c r="R1242" s="25"/>
    </row>
    <row r="1243" spans="1:18" x14ac:dyDescent="0.25">
      <c r="A1243" s="252" t="s">
        <v>877</v>
      </c>
      <c r="B1243" s="89"/>
      <c r="C1243" s="89"/>
      <c r="D1243" s="89"/>
      <c r="E1243" s="100" t="str">
        <f>E1240</f>
        <v>Caixa GNE</v>
      </c>
      <c r="F1243" s="89" t="s">
        <v>1215</v>
      </c>
      <c r="G1243" s="91">
        <v>1</v>
      </c>
      <c r="H1243" s="342">
        <f>'MAPA COTAÇÕES ELÉTRICA'!L22</f>
        <v>589.04999999999995</v>
      </c>
      <c r="I1243" s="253" t="s">
        <v>1193</v>
      </c>
      <c r="J1243" s="193">
        <f>ROUND(H1243*G1243,2)</f>
        <v>589.04999999999995</v>
      </c>
      <c r="K1243" s="193"/>
      <c r="L1243" s="193"/>
      <c r="M1243" s="193"/>
      <c r="N1243" s="193"/>
      <c r="O1243" s="193"/>
      <c r="P1243" s="193"/>
      <c r="Q1243" s="193"/>
      <c r="R1243" s="25"/>
    </row>
    <row r="1244" spans="1:18" x14ac:dyDescent="0.25">
      <c r="A1244" s="159"/>
      <c r="B1244" s="160"/>
      <c r="C1244" s="160"/>
      <c r="D1244" s="160"/>
      <c r="E1244" s="161"/>
      <c r="F1244" s="160"/>
      <c r="G1244" s="162"/>
      <c r="H1244" s="162"/>
      <c r="I1244" s="170" t="s">
        <v>1193</v>
      </c>
      <c r="J1244" s="162"/>
      <c r="K1244" s="162"/>
      <c r="L1244" s="162"/>
      <c r="M1244" s="162"/>
      <c r="N1244" s="162"/>
      <c r="O1244" s="162"/>
      <c r="P1244" s="162"/>
      <c r="Q1244" s="162"/>
      <c r="R1244" s="25"/>
    </row>
    <row r="1245" spans="1:18" s="25" customFormat="1" ht="30" x14ac:dyDescent="0.25">
      <c r="A1245" s="149" t="s">
        <v>22</v>
      </c>
      <c r="B1245" s="148"/>
      <c r="C1245" s="148">
        <v>101538</v>
      </c>
      <c r="D1245" s="143" t="s">
        <v>1020</v>
      </c>
      <c r="E1245" s="144" t="s">
        <v>1021</v>
      </c>
      <c r="F1245" s="143" t="s">
        <v>1215</v>
      </c>
      <c r="G1245" s="146"/>
      <c r="H1245" s="146"/>
      <c r="I1245" s="146">
        <v>1</v>
      </c>
      <c r="J1245" s="146">
        <f>SUM(J1246:J1248)</f>
        <v>16.010000000000002</v>
      </c>
      <c r="K1245" s="146">
        <f>SUM(K1246:K1248)</f>
        <v>10.02</v>
      </c>
      <c r="L1245" s="146">
        <f>J1245+K1245</f>
        <v>26.03</v>
      </c>
      <c r="M1245" s="146">
        <f>I1245*J1245</f>
        <v>16.010000000000002</v>
      </c>
      <c r="N1245" s="146">
        <f>I1245*K1245</f>
        <v>10.02</v>
      </c>
      <c r="O1245" s="146">
        <f>M1245+N1245</f>
        <v>26.03</v>
      </c>
      <c r="P1245" s="146">
        <f>O1245*$P$1</f>
        <v>6.6792980000000002</v>
      </c>
      <c r="Q1245" s="146">
        <f>P1245+O1245</f>
        <v>32.709298000000004</v>
      </c>
    </row>
    <row r="1246" spans="1:18" x14ac:dyDescent="0.25">
      <c r="A1246" s="133" t="s">
        <v>22</v>
      </c>
      <c r="B1246" s="89"/>
      <c r="C1246" s="89">
        <v>88247</v>
      </c>
      <c r="D1246" s="89"/>
      <c r="E1246" s="105" t="s">
        <v>599</v>
      </c>
      <c r="F1246" s="89" t="s">
        <v>29</v>
      </c>
      <c r="G1246" s="127">
        <v>4.1484699999999999E-2</v>
      </c>
      <c r="H1246" s="91">
        <f>H825</f>
        <v>19.100000000000001</v>
      </c>
      <c r="I1246" s="117" t="s">
        <v>1193</v>
      </c>
      <c r="J1246" s="91"/>
      <c r="K1246" s="91">
        <f>ROUND(G1246*H1246,2)</f>
        <v>0.79</v>
      </c>
      <c r="L1246" s="91"/>
      <c r="M1246" s="91"/>
      <c r="N1246" s="91"/>
      <c r="O1246" s="91"/>
      <c r="P1246" s="91"/>
      <c r="Q1246" s="91"/>
      <c r="R1246" s="25"/>
    </row>
    <row r="1247" spans="1:18" x14ac:dyDescent="0.25">
      <c r="A1247" s="134" t="s">
        <v>22</v>
      </c>
      <c r="B1247" s="92"/>
      <c r="C1247" s="92">
        <v>88264</v>
      </c>
      <c r="D1247" s="92"/>
      <c r="E1247" s="93" t="s">
        <v>594</v>
      </c>
      <c r="F1247" s="92" t="s">
        <v>29</v>
      </c>
      <c r="G1247" s="108">
        <v>0.37340000000000001</v>
      </c>
      <c r="H1247" s="94">
        <f>H826</f>
        <v>24.73</v>
      </c>
      <c r="I1247" s="116" t="s">
        <v>1193</v>
      </c>
      <c r="J1247" s="94"/>
      <c r="K1247" s="94">
        <f>ROUND(G1247*H1247,2)</f>
        <v>9.23</v>
      </c>
      <c r="L1247" s="94"/>
      <c r="M1247" s="94"/>
      <c r="N1247" s="94"/>
      <c r="O1247" s="94"/>
      <c r="P1247" s="94"/>
      <c r="Q1247" s="94"/>
      <c r="R1247" s="25"/>
    </row>
    <row r="1248" spans="1:18" ht="30" x14ac:dyDescent="0.25">
      <c r="A1248" s="133" t="s">
        <v>22</v>
      </c>
      <c r="B1248" s="89"/>
      <c r="C1248" s="89">
        <v>1091</v>
      </c>
      <c r="D1248" s="89"/>
      <c r="E1248" s="128" t="s">
        <v>1022</v>
      </c>
      <c r="F1248" s="89" t="s">
        <v>1215</v>
      </c>
      <c r="G1248" s="91">
        <v>1</v>
      </c>
      <c r="H1248" s="91">
        <v>16.010000000000002</v>
      </c>
      <c r="I1248" s="117" t="s">
        <v>1193</v>
      </c>
      <c r="J1248" s="91">
        <f>ROUND(H1248*G1248,2)</f>
        <v>16.010000000000002</v>
      </c>
      <c r="K1248" s="91"/>
      <c r="L1248" s="91"/>
      <c r="M1248" s="91"/>
      <c r="N1248" s="91"/>
      <c r="O1248" s="91"/>
      <c r="P1248" s="91"/>
      <c r="Q1248" s="91"/>
      <c r="R1248" s="25"/>
    </row>
    <row r="1249" spans="1:18" x14ac:dyDescent="0.25">
      <c r="A1249" s="163"/>
      <c r="B1249" s="101"/>
      <c r="C1249" s="101"/>
      <c r="D1249" s="101"/>
      <c r="E1249" s="178"/>
      <c r="F1249" s="101"/>
      <c r="G1249" s="96"/>
      <c r="H1249" s="96"/>
      <c r="I1249" s="169" t="s">
        <v>1193</v>
      </c>
      <c r="J1249" s="96"/>
      <c r="K1249" s="96"/>
      <c r="L1249" s="96"/>
      <c r="M1249" s="96"/>
      <c r="N1249" s="96"/>
      <c r="O1249" s="96"/>
      <c r="P1249" s="96"/>
      <c r="Q1249" s="96"/>
      <c r="R1249" s="25"/>
    </row>
    <row r="1250" spans="1:18" s="25" customFormat="1" ht="30" x14ac:dyDescent="0.25">
      <c r="A1250" s="149" t="s">
        <v>22</v>
      </c>
      <c r="B1250" s="148"/>
      <c r="C1250" s="148">
        <v>11267</v>
      </c>
      <c r="D1250" s="143" t="s">
        <v>1026</v>
      </c>
      <c r="E1250" s="144" t="s">
        <v>1023</v>
      </c>
      <c r="F1250" s="143" t="s">
        <v>1215</v>
      </c>
      <c r="G1250" s="146">
        <v>2</v>
      </c>
      <c r="H1250" s="146">
        <v>0.79</v>
      </c>
      <c r="I1250" s="146">
        <v>1</v>
      </c>
      <c r="J1250" s="146">
        <f>SUM(J1251:J1252)</f>
        <v>1.23</v>
      </c>
      <c r="K1250" s="146">
        <f>SUM(K1251:K1252)</f>
        <v>0</v>
      </c>
      <c r="L1250" s="146">
        <f>J1250+K1250</f>
        <v>1.23</v>
      </c>
      <c r="M1250" s="146">
        <f>I1250*J1250</f>
        <v>1.23</v>
      </c>
      <c r="N1250" s="146">
        <f>I1250*K1250</f>
        <v>0</v>
      </c>
      <c r="O1250" s="146">
        <f>M1250+N1250</f>
        <v>1.23</v>
      </c>
      <c r="P1250" s="146">
        <f>O1250*$P$1</f>
        <v>0.31561800000000001</v>
      </c>
      <c r="Q1250" s="146">
        <f>P1250+O1250</f>
        <v>1.5456179999999999</v>
      </c>
    </row>
    <row r="1251" spans="1:18" x14ac:dyDescent="0.25">
      <c r="A1251" s="134" t="s">
        <v>22</v>
      </c>
      <c r="B1251" s="92"/>
      <c r="C1251" s="92">
        <v>39996</v>
      </c>
      <c r="D1251" s="92"/>
      <c r="E1251" s="95" t="s">
        <v>1024</v>
      </c>
      <c r="F1251" s="92" t="s">
        <v>39</v>
      </c>
      <c r="G1251" s="108">
        <v>0.16639999999999999</v>
      </c>
      <c r="H1251" s="94">
        <v>3.53</v>
      </c>
      <c r="I1251" s="116" t="s">
        <v>1193</v>
      </c>
      <c r="J1251" s="94">
        <f>ROUND(H1251*G1251,2)</f>
        <v>0.59</v>
      </c>
      <c r="K1251" s="94"/>
      <c r="L1251" s="94"/>
      <c r="M1251" s="94"/>
      <c r="N1251" s="94"/>
      <c r="O1251" s="94"/>
      <c r="P1251" s="94"/>
      <c r="Q1251" s="94"/>
      <c r="R1251" s="25"/>
    </row>
    <row r="1252" spans="1:18" x14ac:dyDescent="0.25">
      <c r="A1252" s="133" t="s">
        <v>22</v>
      </c>
      <c r="B1252" s="89"/>
      <c r="C1252" s="89">
        <v>39997</v>
      </c>
      <c r="D1252" s="89"/>
      <c r="E1252" s="100" t="s">
        <v>1025</v>
      </c>
      <c r="F1252" s="89" t="s">
        <v>1215</v>
      </c>
      <c r="G1252" s="91">
        <v>2</v>
      </c>
      <c r="H1252" s="91">
        <v>0.32</v>
      </c>
      <c r="I1252" s="117" t="s">
        <v>1193</v>
      </c>
      <c r="J1252" s="91">
        <f>ROUND(H1252*G1252,2)</f>
        <v>0.64</v>
      </c>
      <c r="K1252" s="91"/>
      <c r="L1252" s="91"/>
      <c r="M1252" s="91"/>
      <c r="N1252" s="91"/>
      <c r="O1252" s="91"/>
      <c r="P1252" s="91"/>
      <c r="Q1252" s="91"/>
      <c r="R1252" s="25"/>
    </row>
    <row r="1253" spans="1:18" x14ac:dyDescent="0.25">
      <c r="A1253" s="163"/>
      <c r="B1253" s="101"/>
      <c r="C1253" s="101"/>
      <c r="D1253" s="101"/>
      <c r="E1253" s="102"/>
      <c r="F1253" s="101"/>
      <c r="G1253" s="96"/>
      <c r="H1253" s="96"/>
      <c r="I1253" s="169" t="s">
        <v>1193</v>
      </c>
      <c r="J1253" s="96"/>
      <c r="K1253" s="96"/>
      <c r="L1253" s="96"/>
      <c r="M1253" s="96"/>
      <c r="N1253" s="96"/>
      <c r="O1253" s="96"/>
      <c r="P1253" s="96"/>
      <c r="Q1253" s="96"/>
      <c r="R1253" s="25"/>
    </row>
    <row r="1254" spans="1:18" s="25" customFormat="1" x14ac:dyDescent="0.25">
      <c r="A1254" s="149"/>
      <c r="B1254" s="148"/>
      <c r="C1254" s="148"/>
      <c r="D1254" s="143" t="s">
        <v>1157</v>
      </c>
      <c r="E1254" s="144" t="s">
        <v>1027</v>
      </c>
      <c r="F1254" s="143" t="s">
        <v>1215</v>
      </c>
      <c r="G1254" s="146"/>
      <c r="H1254" s="146"/>
      <c r="I1254" s="146">
        <v>1</v>
      </c>
      <c r="J1254" s="146">
        <f>SUM(J1255:J1257)</f>
        <v>51</v>
      </c>
      <c r="K1254" s="146">
        <f>SUM(K1255:K1257)</f>
        <v>11.09</v>
      </c>
      <c r="L1254" s="146">
        <f>J1254+K1254</f>
        <v>62.09</v>
      </c>
      <c r="M1254" s="146">
        <f>I1254*J1254</f>
        <v>51</v>
      </c>
      <c r="N1254" s="146">
        <f>I1254*K1254</f>
        <v>11.09</v>
      </c>
      <c r="O1254" s="146">
        <f>M1254+N1254</f>
        <v>62.09</v>
      </c>
      <c r="P1254" s="146">
        <f>O1254*$P$1</f>
        <v>15.932294000000001</v>
      </c>
      <c r="Q1254" s="146">
        <f>P1254+O1254</f>
        <v>78.022294000000002</v>
      </c>
    </row>
    <row r="1255" spans="1:18" x14ac:dyDescent="0.25">
      <c r="A1255" s="134" t="s">
        <v>22</v>
      </c>
      <c r="B1255" s="92"/>
      <c r="C1255" s="92">
        <v>88247</v>
      </c>
      <c r="D1255" s="92"/>
      <c r="E1255" s="107" t="s">
        <v>599</v>
      </c>
      <c r="F1255" s="92" t="s">
        <v>29</v>
      </c>
      <c r="G1255" s="108">
        <v>0.25309999999999999</v>
      </c>
      <c r="H1255" s="94">
        <f>H825</f>
        <v>19.100000000000001</v>
      </c>
      <c r="I1255" s="116" t="s">
        <v>1193</v>
      </c>
      <c r="J1255" s="94"/>
      <c r="K1255" s="94">
        <f>ROUND(G1255*H1255,2)</f>
        <v>4.83</v>
      </c>
      <c r="L1255" s="94"/>
      <c r="M1255" s="94"/>
      <c r="N1255" s="94"/>
      <c r="O1255" s="94"/>
      <c r="P1255" s="94"/>
      <c r="Q1255" s="94"/>
      <c r="R1255" s="25"/>
    </row>
    <row r="1256" spans="1:18" x14ac:dyDescent="0.25">
      <c r="A1256" s="133" t="s">
        <v>22</v>
      </c>
      <c r="B1256" s="89"/>
      <c r="C1256" s="89">
        <v>88264</v>
      </c>
      <c r="D1256" s="89"/>
      <c r="E1256" s="90" t="s">
        <v>594</v>
      </c>
      <c r="F1256" s="89" t="s">
        <v>29</v>
      </c>
      <c r="G1256" s="109">
        <v>0.25309999999999999</v>
      </c>
      <c r="H1256" s="91">
        <f>H826</f>
        <v>24.73</v>
      </c>
      <c r="I1256" s="117" t="s">
        <v>1193</v>
      </c>
      <c r="J1256" s="91"/>
      <c r="K1256" s="91">
        <f>ROUND(G1256*H1256,2)</f>
        <v>6.26</v>
      </c>
      <c r="L1256" s="91"/>
      <c r="M1256" s="91"/>
      <c r="N1256" s="91"/>
      <c r="O1256" s="91"/>
      <c r="P1256" s="91"/>
      <c r="Q1256" s="91"/>
      <c r="R1256" s="25"/>
    </row>
    <row r="1257" spans="1:18" x14ac:dyDescent="0.25">
      <c r="A1257" s="134" t="s">
        <v>22</v>
      </c>
      <c r="B1257" s="92"/>
      <c r="C1257" s="92">
        <v>11991</v>
      </c>
      <c r="D1257" s="92"/>
      <c r="E1257" s="93" t="str">
        <f>E1254</f>
        <v>Haste de aterramento, 3 metros, coperweld, 1/2", com conector</v>
      </c>
      <c r="F1257" s="92" t="s">
        <v>1215</v>
      </c>
      <c r="G1257" s="94">
        <v>1</v>
      </c>
      <c r="H1257" s="94">
        <v>51</v>
      </c>
      <c r="I1257" s="116" t="s">
        <v>1193</v>
      </c>
      <c r="J1257" s="94">
        <f>ROUND(H1257*G1257,2)</f>
        <v>51</v>
      </c>
      <c r="K1257" s="94"/>
      <c r="L1257" s="94"/>
      <c r="M1257" s="94"/>
      <c r="N1257" s="94"/>
      <c r="O1257" s="94"/>
      <c r="P1257" s="94"/>
      <c r="Q1257" s="94"/>
      <c r="R1257" s="25"/>
    </row>
    <row r="1258" spans="1:18" x14ac:dyDescent="0.25">
      <c r="A1258" s="159"/>
      <c r="B1258" s="160"/>
      <c r="C1258" s="160"/>
      <c r="D1258" s="160"/>
      <c r="E1258" s="161"/>
      <c r="F1258" s="160"/>
      <c r="G1258" s="162"/>
      <c r="H1258" s="162"/>
      <c r="I1258" s="170" t="s">
        <v>1193</v>
      </c>
      <c r="J1258" s="162"/>
      <c r="K1258" s="162"/>
      <c r="L1258" s="162"/>
      <c r="M1258" s="162"/>
      <c r="N1258" s="162"/>
      <c r="O1258" s="162"/>
      <c r="P1258" s="162"/>
      <c r="Q1258" s="162"/>
      <c r="R1258" s="25"/>
    </row>
    <row r="1259" spans="1:18" s="25" customFormat="1" ht="15.75" x14ac:dyDescent="0.25">
      <c r="A1259" s="136"/>
      <c r="B1259" s="97"/>
      <c r="C1259" s="97"/>
      <c r="D1259" s="97">
        <v>19</v>
      </c>
      <c r="E1259" s="98" t="s">
        <v>1028</v>
      </c>
      <c r="F1259" s="97"/>
      <c r="G1259" s="97"/>
      <c r="H1259" s="330"/>
      <c r="I1259" s="97" t="s">
        <v>1193</v>
      </c>
      <c r="J1259" s="330"/>
      <c r="K1259" s="330"/>
      <c r="L1259" s="330"/>
      <c r="M1259" s="330"/>
      <c r="N1259" s="330"/>
      <c r="O1259" s="330"/>
      <c r="P1259" s="330"/>
      <c r="Q1259" s="330">
        <f>SUM(Q1260:Q1278)</f>
        <v>6957.3920880000005</v>
      </c>
    </row>
    <row r="1260" spans="1:18" ht="15.75" x14ac:dyDescent="0.25">
      <c r="A1260" s="174"/>
      <c r="B1260" s="175"/>
      <c r="C1260" s="175"/>
      <c r="D1260" s="179"/>
      <c r="E1260" s="180"/>
      <c r="F1260" s="179"/>
      <c r="G1260" s="181"/>
      <c r="H1260" s="182"/>
      <c r="I1260" s="181" t="s">
        <v>1193</v>
      </c>
      <c r="J1260" s="181"/>
      <c r="K1260" s="181"/>
      <c r="L1260" s="181"/>
      <c r="M1260" s="181"/>
      <c r="N1260" s="181"/>
      <c r="O1260" s="181"/>
      <c r="P1260" s="182"/>
      <c r="Q1260" s="182"/>
      <c r="R1260" s="25"/>
    </row>
    <row r="1261" spans="1:18" s="25" customFormat="1" ht="115.9" customHeight="1" x14ac:dyDescent="0.25">
      <c r="A1261" s="149"/>
      <c r="B1261" s="148"/>
      <c r="C1261" s="148"/>
      <c r="D1261" s="143" t="s">
        <v>1029</v>
      </c>
      <c r="E1261" s="144" t="s">
        <v>1030</v>
      </c>
      <c r="F1261" s="143" t="s">
        <v>1215</v>
      </c>
      <c r="G1261" s="146"/>
      <c r="H1261" s="146"/>
      <c r="I1261" s="146">
        <v>1</v>
      </c>
      <c r="J1261" s="146">
        <f>SUM(J1262:J1265)</f>
        <v>1928.96</v>
      </c>
      <c r="K1261" s="146">
        <f>SUM(K1262:K1265)</f>
        <v>153.41</v>
      </c>
      <c r="L1261" s="146">
        <f>J1261+K1261</f>
        <v>2082.37</v>
      </c>
      <c r="M1261" s="146">
        <f>I1261*J1261</f>
        <v>1928.96</v>
      </c>
      <c r="N1261" s="146">
        <f>I1261*K1261</f>
        <v>153.41</v>
      </c>
      <c r="O1261" s="146">
        <f>M1261+N1261</f>
        <v>2082.37</v>
      </c>
      <c r="P1261" s="146">
        <f>O1261*$P$1</f>
        <v>534.336142</v>
      </c>
      <c r="Q1261" s="146">
        <f>P1261+O1261</f>
        <v>2616.706142</v>
      </c>
    </row>
    <row r="1262" spans="1:18" x14ac:dyDescent="0.25">
      <c r="A1262" s="133" t="s">
        <v>22</v>
      </c>
      <c r="B1262" s="89"/>
      <c r="C1262" s="89">
        <v>88247</v>
      </c>
      <c r="D1262" s="89"/>
      <c r="E1262" s="105" t="s">
        <v>599</v>
      </c>
      <c r="F1262" s="89" t="s">
        <v>29</v>
      </c>
      <c r="G1262" s="91">
        <v>3.5</v>
      </c>
      <c r="H1262" s="91">
        <f>H825</f>
        <v>19.100000000000001</v>
      </c>
      <c r="I1262" s="117" t="s">
        <v>1193</v>
      </c>
      <c r="J1262" s="91"/>
      <c r="K1262" s="91">
        <f>ROUND(G1262*H1262,2)</f>
        <v>66.849999999999994</v>
      </c>
      <c r="L1262" s="91"/>
      <c r="M1262" s="91"/>
      <c r="N1262" s="91"/>
      <c r="O1262" s="91"/>
      <c r="P1262" s="91"/>
      <c r="Q1262" s="91"/>
      <c r="R1262" s="25"/>
    </row>
    <row r="1263" spans="1:18" x14ac:dyDescent="0.25">
      <c r="A1263" s="134" t="s">
        <v>22</v>
      </c>
      <c r="B1263" s="92"/>
      <c r="C1263" s="92">
        <v>88264</v>
      </c>
      <c r="D1263" s="92"/>
      <c r="E1263" s="93" t="s">
        <v>594</v>
      </c>
      <c r="F1263" s="92" t="s">
        <v>29</v>
      </c>
      <c r="G1263" s="94">
        <v>3.5</v>
      </c>
      <c r="H1263" s="94">
        <f>H826</f>
        <v>24.73</v>
      </c>
      <c r="I1263" s="116" t="s">
        <v>1193</v>
      </c>
      <c r="J1263" s="94"/>
      <c r="K1263" s="94">
        <f>ROUND(G1263*H1263,2)</f>
        <v>86.56</v>
      </c>
      <c r="L1263" s="94"/>
      <c r="M1263" s="94"/>
      <c r="N1263" s="94"/>
      <c r="O1263" s="94"/>
      <c r="P1263" s="94"/>
      <c r="Q1263" s="94"/>
      <c r="R1263" s="25"/>
    </row>
    <row r="1264" spans="1:18" ht="30" x14ac:dyDescent="0.25">
      <c r="A1264" s="133" t="s">
        <v>22</v>
      </c>
      <c r="B1264" s="89"/>
      <c r="C1264" s="89">
        <v>39761</v>
      </c>
      <c r="D1264" s="89"/>
      <c r="E1264" s="100" t="s">
        <v>1031</v>
      </c>
      <c r="F1264" s="89" t="s">
        <v>1215</v>
      </c>
      <c r="G1264" s="91">
        <v>1</v>
      </c>
      <c r="H1264" s="91">
        <v>1567.23</v>
      </c>
      <c r="I1264" s="117" t="s">
        <v>1193</v>
      </c>
      <c r="J1264" s="91">
        <f>ROUND(H1264*G1264,2)</f>
        <v>1567.23</v>
      </c>
      <c r="K1264" s="91"/>
      <c r="L1264" s="91"/>
      <c r="M1264" s="91"/>
      <c r="N1264" s="91"/>
      <c r="O1264" s="91"/>
      <c r="P1264" s="91"/>
      <c r="Q1264" s="91"/>
      <c r="R1264" s="25"/>
    </row>
    <row r="1265" spans="1:18" x14ac:dyDescent="0.25">
      <c r="A1265" s="134" t="s">
        <v>22</v>
      </c>
      <c r="B1265" s="92"/>
      <c r="C1265" s="92">
        <v>2391</v>
      </c>
      <c r="D1265" s="92"/>
      <c r="E1265" s="95" t="s">
        <v>1032</v>
      </c>
      <c r="F1265" s="92" t="s">
        <v>1215</v>
      </c>
      <c r="G1265" s="94">
        <v>1</v>
      </c>
      <c r="H1265" s="94">
        <v>361.73</v>
      </c>
      <c r="I1265" s="116" t="s">
        <v>1193</v>
      </c>
      <c r="J1265" s="94">
        <f>ROUND(H1265*G1265,2)</f>
        <v>361.73</v>
      </c>
      <c r="K1265" s="94"/>
      <c r="L1265" s="94"/>
      <c r="M1265" s="94"/>
      <c r="N1265" s="94"/>
      <c r="O1265" s="94"/>
      <c r="P1265" s="94"/>
      <c r="Q1265" s="94"/>
      <c r="R1265" s="25"/>
    </row>
    <row r="1266" spans="1:18" x14ac:dyDescent="0.25">
      <c r="A1266" s="159"/>
      <c r="B1266" s="160"/>
      <c r="C1266" s="160"/>
      <c r="D1266" s="160"/>
      <c r="E1266" s="161"/>
      <c r="F1266" s="160"/>
      <c r="G1266" s="162"/>
      <c r="H1266" s="162"/>
      <c r="I1266" s="170" t="s">
        <v>1193</v>
      </c>
      <c r="J1266" s="162"/>
      <c r="K1266" s="162"/>
      <c r="L1266" s="162"/>
      <c r="M1266" s="162"/>
      <c r="N1266" s="162"/>
      <c r="O1266" s="162"/>
      <c r="P1266" s="162"/>
      <c r="Q1266" s="162"/>
      <c r="R1266" s="25"/>
    </row>
    <row r="1267" spans="1:18" s="25" customFormat="1" ht="117" customHeight="1" x14ac:dyDescent="0.25">
      <c r="A1267" s="149"/>
      <c r="B1267" s="148"/>
      <c r="C1267" s="148"/>
      <c r="D1267" s="143" t="s">
        <v>1033</v>
      </c>
      <c r="E1267" s="144" t="s">
        <v>1034</v>
      </c>
      <c r="F1267" s="143" t="s">
        <v>1215</v>
      </c>
      <c r="G1267" s="146"/>
      <c r="H1267" s="146"/>
      <c r="I1267" s="146">
        <v>1</v>
      </c>
      <c r="J1267" s="146">
        <f>SUM(J1268:J1272)</f>
        <v>2401.17</v>
      </c>
      <c r="K1267" s="146">
        <f>SUM(K1268:K1272)</f>
        <v>262.98</v>
      </c>
      <c r="L1267" s="146">
        <f>J1267+K1267</f>
        <v>2664.15</v>
      </c>
      <c r="M1267" s="146">
        <f>I1267*J1267</f>
        <v>2401.17</v>
      </c>
      <c r="N1267" s="146">
        <f>I1267*K1267</f>
        <v>262.98</v>
      </c>
      <c r="O1267" s="146">
        <f>M1267+N1267</f>
        <v>2664.15</v>
      </c>
      <c r="P1267" s="146">
        <f>O1267*$P$1</f>
        <v>683.62089000000003</v>
      </c>
      <c r="Q1267" s="146">
        <f>P1267+O1267</f>
        <v>3347.7708900000002</v>
      </c>
    </row>
    <row r="1268" spans="1:18" x14ac:dyDescent="0.25">
      <c r="A1268" s="133" t="s">
        <v>22</v>
      </c>
      <c r="B1268" s="89"/>
      <c r="C1268" s="89">
        <v>88247</v>
      </c>
      <c r="D1268" s="89"/>
      <c r="E1268" s="105" t="s">
        <v>599</v>
      </c>
      <c r="F1268" s="89" t="s">
        <v>29</v>
      </c>
      <c r="G1268" s="91">
        <v>6</v>
      </c>
      <c r="H1268" s="91">
        <f>H825</f>
        <v>19.100000000000001</v>
      </c>
      <c r="I1268" s="117" t="s">
        <v>1193</v>
      </c>
      <c r="J1268" s="91"/>
      <c r="K1268" s="91">
        <f>ROUND(G1268*H1268,2)</f>
        <v>114.6</v>
      </c>
      <c r="L1268" s="91"/>
      <c r="M1268" s="91"/>
      <c r="N1268" s="91"/>
      <c r="O1268" s="91"/>
      <c r="P1268" s="91"/>
      <c r="Q1268" s="91"/>
      <c r="R1268" s="25"/>
    </row>
    <row r="1269" spans="1:18" x14ac:dyDescent="0.25">
      <c r="A1269" s="134" t="s">
        <v>22</v>
      </c>
      <c r="B1269" s="92"/>
      <c r="C1269" s="92">
        <v>88264</v>
      </c>
      <c r="D1269" s="92"/>
      <c r="E1269" s="93" t="s">
        <v>594</v>
      </c>
      <c r="F1269" s="92" t="s">
        <v>29</v>
      </c>
      <c r="G1269" s="94">
        <v>6</v>
      </c>
      <c r="H1269" s="94">
        <f>H826</f>
        <v>24.73</v>
      </c>
      <c r="I1269" s="116" t="s">
        <v>1193</v>
      </c>
      <c r="J1269" s="94"/>
      <c r="K1269" s="94">
        <f>ROUND(G1269*H1269,2)</f>
        <v>148.38</v>
      </c>
      <c r="L1269" s="94"/>
      <c r="M1269" s="94"/>
      <c r="N1269" s="94"/>
      <c r="O1269" s="94"/>
      <c r="P1269" s="94"/>
      <c r="Q1269" s="94"/>
      <c r="R1269" s="25"/>
    </row>
    <row r="1270" spans="1:18" ht="30" x14ac:dyDescent="0.25">
      <c r="A1270" s="133" t="s">
        <v>35</v>
      </c>
      <c r="B1270" s="89"/>
      <c r="C1270" s="89" t="s">
        <v>1035</v>
      </c>
      <c r="D1270" s="89"/>
      <c r="E1270" s="100" t="s">
        <v>1036</v>
      </c>
      <c r="F1270" s="89" t="s">
        <v>1215</v>
      </c>
      <c r="G1270" s="91">
        <v>1</v>
      </c>
      <c r="H1270" s="91">
        <v>922.31</v>
      </c>
      <c r="I1270" s="117" t="s">
        <v>1193</v>
      </c>
      <c r="J1270" s="91">
        <f>ROUND(H1270*G1270,2)</f>
        <v>922.31</v>
      </c>
      <c r="K1270" s="91"/>
      <c r="L1270" s="91"/>
      <c r="M1270" s="91"/>
      <c r="N1270" s="91"/>
      <c r="O1270" s="91"/>
      <c r="P1270" s="91"/>
      <c r="Q1270" s="91"/>
      <c r="R1270" s="25"/>
    </row>
    <row r="1271" spans="1:18" x14ac:dyDescent="0.25">
      <c r="A1271" s="134" t="s">
        <v>22</v>
      </c>
      <c r="B1271" s="92"/>
      <c r="C1271" s="92">
        <v>2377</v>
      </c>
      <c r="D1271" s="92"/>
      <c r="E1271" s="95" t="s">
        <v>1037</v>
      </c>
      <c r="F1271" s="92" t="s">
        <v>1215</v>
      </c>
      <c r="G1271" s="94">
        <v>1</v>
      </c>
      <c r="H1271" s="94">
        <v>575.91999999999996</v>
      </c>
      <c r="I1271" s="116" t="s">
        <v>1193</v>
      </c>
      <c r="J1271" s="94">
        <f>ROUND(H1271*G1271,2)</f>
        <v>575.91999999999996</v>
      </c>
      <c r="K1271" s="94"/>
      <c r="L1271" s="94"/>
      <c r="M1271" s="94"/>
      <c r="N1271" s="94"/>
      <c r="O1271" s="94"/>
      <c r="P1271" s="94"/>
      <c r="Q1271" s="94"/>
      <c r="R1271" s="25"/>
    </row>
    <row r="1272" spans="1:18" x14ac:dyDescent="0.25">
      <c r="A1272" s="252" t="s">
        <v>877</v>
      </c>
      <c r="B1272" s="89"/>
      <c r="C1272" s="89"/>
      <c r="D1272" s="89"/>
      <c r="E1272" s="100" t="s">
        <v>1038</v>
      </c>
      <c r="F1272" s="89" t="s">
        <v>1215</v>
      </c>
      <c r="G1272" s="91">
        <v>1</v>
      </c>
      <c r="H1272" s="342">
        <f>'MAPA COTAÇÕES ELÉTRICA'!L23</f>
        <v>902.93666666666661</v>
      </c>
      <c r="I1272" s="253" t="s">
        <v>1193</v>
      </c>
      <c r="J1272" s="193">
        <f>ROUND(H1272*G1272,2)</f>
        <v>902.94</v>
      </c>
      <c r="K1272" s="193"/>
      <c r="L1272" s="193"/>
      <c r="M1272" s="193"/>
      <c r="N1272" s="193"/>
      <c r="O1272" s="193"/>
      <c r="P1272" s="193"/>
      <c r="Q1272" s="193"/>
      <c r="R1272" s="25"/>
    </row>
    <row r="1273" spans="1:18" x14ac:dyDescent="0.25">
      <c r="A1273" s="163"/>
      <c r="B1273" s="101"/>
      <c r="C1273" s="101"/>
      <c r="D1273" s="101"/>
      <c r="E1273" s="104"/>
      <c r="F1273" s="101"/>
      <c r="G1273" s="96"/>
      <c r="H1273" s="96"/>
      <c r="I1273" s="169" t="s">
        <v>1193</v>
      </c>
      <c r="J1273" s="96"/>
      <c r="K1273" s="96"/>
      <c r="L1273" s="96"/>
      <c r="M1273" s="96"/>
      <c r="N1273" s="96"/>
      <c r="O1273" s="96"/>
      <c r="P1273" s="96"/>
      <c r="Q1273" s="96"/>
      <c r="R1273" s="25"/>
    </row>
    <row r="1274" spans="1:18" s="25" customFormat="1" ht="30" x14ac:dyDescent="0.25">
      <c r="A1274" s="149"/>
      <c r="B1274" s="148"/>
      <c r="C1274" s="148"/>
      <c r="D1274" s="143" t="s">
        <v>1039</v>
      </c>
      <c r="E1274" s="144" t="s">
        <v>1040</v>
      </c>
      <c r="F1274" s="143" t="s">
        <v>1215</v>
      </c>
      <c r="G1274" s="146"/>
      <c r="H1274" s="146"/>
      <c r="I1274" s="146">
        <v>1</v>
      </c>
      <c r="J1274" s="146">
        <f>SUM(J1275:J1277)</f>
        <v>724.41</v>
      </c>
      <c r="K1274" s="146">
        <f>SUM(K1275:K1277)</f>
        <v>65.75</v>
      </c>
      <c r="L1274" s="146">
        <f>J1274+K1274</f>
        <v>790.16</v>
      </c>
      <c r="M1274" s="146">
        <f>I1274*J1274</f>
        <v>724.41</v>
      </c>
      <c r="N1274" s="146">
        <f>I1274*K1274</f>
        <v>65.75</v>
      </c>
      <c r="O1274" s="146">
        <f>M1274+N1274</f>
        <v>790.16</v>
      </c>
      <c r="P1274" s="146">
        <f>O1274*$P$1</f>
        <v>202.755056</v>
      </c>
      <c r="Q1274" s="146">
        <f>P1274+O1274</f>
        <v>992.91505599999994</v>
      </c>
    </row>
    <row r="1275" spans="1:18" x14ac:dyDescent="0.25">
      <c r="A1275" s="134" t="s">
        <v>22</v>
      </c>
      <c r="B1275" s="92"/>
      <c r="C1275" s="92">
        <v>88247</v>
      </c>
      <c r="D1275" s="92"/>
      <c r="E1275" s="107" t="s">
        <v>599</v>
      </c>
      <c r="F1275" s="92" t="s">
        <v>29</v>
      </c>
      <c r="G1275" s="94">
        <v>1.5</v>
      </c>
      <c r="H1275" s="94">
        <f>H825</f>
        <v>19.100000000000001</v>
      </c>
      <c r="I1275" s="116" t="s">
        <v>1193</v>
      </c>
      <c r="J1275" s="94"/>
      <c r="K1275" s="94">
        <f>ROUND(G1275*H1275,2)</f>
        <v>28.65</v>
      </c>
      <c r="L1275" s="94"/>
      <c r="M1275" s="94"/>
      <c r="N1275" s="94"/>
      <c r="O1275" s="94"/>
      <c r="P1275" s="94"/>
      <c r="Q1275" s="94"/>
      <c r="R1275" s="25"/>
    </row>
    <row r="1276" spans="1:18" x14ac:dyDescent="0.25">
      <c r="A1276" s="133" t="s">
        <v>22</v>
      </c>
      <c r="B1276" s="89"/>
      <c r="C1276" s="89">
        <v>88264</v>
      </c>
      <c r="D1276" s="89"/>
      <c r="E1276" s="90" t="s">
        <v>594</v>
      </c>
      <c r="F1276" s="89" t="s">
        <v>29</v>
      </c>
      <c r="G1276" s="91">
        <v>1.5</v>
      </c>
      <c r="H1276" s="91">
        <f>H826</f>
        <v>24.73</v>
      </c>
      <c r="I1276" s="117" t="s">
        <v>1193</v>
      </c>
      <c r="J1276" s="91"/>
      <c r="K1276" s="91">
        <f>ROUND(G1276*H1276,2)</f>
        <v>37.1</v>
      </c>
      <c r="L1276" s="91"/>
      <c r="M1276" s="91"/>
      <c r="N1276" s="91"/>
      <c r="O1276" s="91"/>
      <c r="P1276" s="91"/>
      <c r="Q1276" s="91"/>
      <c r="R1276" s="25"/>
    </row>
    <row r="1277" spans="1:18" ht="30" x14ac:dyDescent="0.25">
      <c r="A1277" s="134" t="s">
        <v>22</v>
      </c>
      <c r="B1277" s="92"/>
      <c r="C1277" s="92">
        <v>39757</v>
      </c>
      <c r="D1277" s="92"/>
      <c r="E1277" s="95" t="s">
        <v>1041</v>
      </c>
      <c r="F1277" s="92" t="s">
        <v>1215</v>
      </c>
      <c r="G1277" s="94">
        <v>1</v>
      </c>
      <c r="H1277" s="94">
        <v>724.41</v>
      </c>
      <c r="I1277" s="116" t="s">
        <v>1193</v>
      </c>
      <c r="J1277" s="94">
        <f>ROUND(H1277*G1277,2)</f>
        <v>724.41</v>
      </c>
      <c r="K1277" s="94"/>
      <c r="L1277" s="94"/>
      <c r="M1277" s="94"/>
      <c r="N1277" s="94"/>
      <c r="O1277" s="94"/>
      <c r="P1277" s="94"/>
      <c r="Q1277" s="94"/>
      <c r="R1277" s="25"/>
    </row>
    <row r="1278" spans="1:18" x14ac:dyDescent="0.25">
      <c r="A1278" s="159"/>
      <c r="B1278" s="160"/>
      <c r="C1278" s="160"/>
      <c r="D1278" s="160"/>
      <c r="E1278" s="161"/>
      <c r="F1278" s="160"/>
      <c r="G1278" s="162"/>
      <c r="H1278" s="162"/>
      <c r="I1278" s="170" t="s">
        <v>1193</v>
      </c>
      <c r="J1278" s="162"/>
      <c r="K1278" s="162"/>
      <c r="L1278" s="162"/>
      <c r="M1278" s="162"/>
      <c r="N1278" s="162"/>
      <c r="O1278" s="162"/>
      <c r="P1278" s="162"/>
      <c r="Q1278" s="162"/>
      <c r="R1278" s="25"/>
    </row>
    <row r="1279" spans="1:18" s="25" customFormat="1" ht="15.75" x14ac:dyDescent="0.25">
      <c r="A1279" s="136"/>
      <c r="B1279" s="97"/>
      <c r="C1279" s="97"/>
      <c r="D1279" s="97">
        <v>20</v>
      </c>
      <c r="E1279" s="98" t="s">
        <v>1042</v>
      </c>
      <c r="F1279" s="97"/>
      <c r="G1279" s="97"/>
      <c r="H1279" s="330"/>
      <c r="I1279" s="97" t="s">
        <v>1193</v>
      </c>
      <c r="J1279" s="330"/>
      <c r="K1279" s="330"/>
      <c r="L1279" s="330"/>
      <c r="M1279" s="330"/>
      <c r="N1279" s="330"/>
      <c r="O1279" s="330"/>
      <c r="P1279" s="330"/>
      <c r="Q1279" s="330">
        <f>SUM(Q1280:Q1371)</f>
        <v>13393.257478</v>
      </c>
    </row>
    <row r="1280" spans="1:18" ht="15.75" x14ac:dyDescent="0.25">
      <c r="A1280" s="174"/>
      <c r="B1280" s="175"/>
      <c r="C1280" s="175"/>
      <c r="D1280" s="175"/>
      <c r="E1280" s="176"/>
      <c r="F1280" s="175"/>
      <c r="G1280" s="175"/>
      <c r="H1280" s="177"/>
      <c r="I1280" s="175" t="s">
        <v>1193</v>
      </c>
      <c r="J1280" s="177"/>
      <c r="K1280" s="177"/>
      <c r="L1280" s="177"/>
      <c r="M1280" s="177"/>
      <c r="N1280" s="177"/>
      <c r="O1280" s="177"/>
      <c r="P1280" s="177"/>
      <c r="Q1280" s="177"/>
      <c r="R1280" s="25"/>
    </row>
    <row r="1281" spans="1:18" s="25" customFormat="1" x14ac:dyDescent="0.25">
      <c r="A1281" s="149"/>
      <c r="B1281" s="148"/>
      <c r="C1281" s="148"/>
      <c r="D1281" s="143" t="s">
        <v>1043</v>
      </c>
      <c r="E1281" s="144" t="s">
        <v>1044</v>
      </c>
      <c r="F1281" s="143" t="s">
        <v>1215</v>
      </c>
      <c r="G1281" s="146"/>
      <c r="H1281" s="146"/>
      <c r="I1281" s="146">
        <v>1</v>
      </c>
      <c r="J1281" s="146">
        <f>SUM(J1282:J1284)</f>
        <v>145.4</v>
      </c>
      <c r="K1281" s="146">
        <f>SUM(K1282:K1284)</f>
        <v>26.3</v>
      </c>
      <c r="L1281" s="146">
        <f>J1281+K1281</f>
        <v>171.70000000000002</v>
      </c>
      <c r="M1281" s="146">
        <f>I1281*J1281</f>
        <v>145.4</v>
      </c>
      <c r="N1281" s="146">
        <f>I1281*K1281</f>
        <v>26.3</v>
      </c>
      <c r="O1281" s="146">
        <f>M1281+N1281</f>
        <v>171.70000000000002</v>
      </c>
      <c r="P1281" s="146">
        <f>O1281*$P$1</f>
        <v>44.058220000000006</v>
      </c>
      <c r="Q1281" s="146">
        <f>P1281+O1281</f>
        <v>215.75822000000002</v>
      </c>
    </row>
    <row r="1282" spans="1:18" x14ac:dyDescent="0.25">
      <c r="A1282" s="133" t="s">
        <v>22</v>
      </c>
      <c r="B1282" s="89"/>
      <c r="C1282" s="89">
        <v>88247</v>
      </c>
      <c r="D1282" s="89"/>
      <c r="E1282" s="105" t="s">
        <v>599</v>
      </c>
      <c r="F1282" s="89" t="s">
        <v>29</v>
      </c>
      <c r="G1282" s="91">
        <v>0.6</v>
      </c>
      <c r="H1282" s="91">
        <f>H825</f>
        <v>19.100000000000001</v>
      </c>
      <c r="I1282" s="117" t="s">
        <v>1193</v>
      </c>
      <c r="J1282" s="91"/>
      <c r="K1282" s="91">
        <f>ROUND(G1282*H1282,2)</f>
        <v>11.46</v>
      </c>
      <c r="L1282" s="91"/>
      <c r="M1282" s="91"/>
      <c r="N1282" s="91"/>
      <c r="O1282" s="91"/>
      <c r="P1282" s="91"/>
      <c r="Q1282" s="91"/>
      <c r="R1282" s="25"/>
    </row>
    <row r="1283" spans="1:18" x14ac:dyDescent="0.25">
      <c r="A1283" s="134" t="s">
        <v>22</v>
      </c>
      <c r="B1283" s="92"/>
      <c r="C1283" s="92">
        <v>88264</v>
      </c>
      <c r="D1283" s="92"/>
      <c r="E1283" s="93" t="s">
        <v>594</v>
      </c>
      <c r="F1283" s="92" t="s">
        <v>29</v>
      </c>
      <c r="G1283" s="94">
        <v>0.6</v>
      </c>
      <c r="H1283" s="94">
        <f>H826</f>
        <v>24.73</v>
      </c>
      <c r="I1283" s="116" t="s">
        <v>1193</v>
      </c>
      <c r="J1283" s="94"/>
      <c r="K1283" s="94">
        <f>ROUND(G1283*H1283,2)</f>
        <v>14.84</v>
      </c>
      <c r="L1283" s="94"/>
      <c r="M1283" s="94"/>
      <c r="N1283" s="94"/>
      <c r="O1283" s="94"/>
      <c r="P1283" s="94"/>
      <c r="Q1283" s="94"/>
      <c r="R1283" s="25"/>
    </row>
    <row r="1284" spans="1:18" x14ac:dyDescent="0.25">
      <c r="A1284" s="133" t="s">
        <v>22</v>
      </c>
      <c r="B1284" s="89"/>
      <c r="C1284" s="89">
        <v>39445</v>
      </c>
      <c r="D1284" s="89"/>
      <c r="E1284" s="90" t="str">
        <f>E1281</f>
        <v>Dispositivo DR BIPOLAR, 25A sensibilidade 30mA</v>
      </c>
      <c r="F1284" s="89" t="s">
        <v>1215</v>
      </c>
      <c r="G1284" s="91">
        <v>1</v>
      </c>
      <c r="H1284" s="91">
        <v>145.4</v>
      </c>
      <c r="I1284" s="117" t="s">
        <v>1193</v>
      </c>
      <c r="J1284" s="91">
        <f>ROUND(H1284*G1284,2)</f>
        <v>145.4</v>
      </c>
      <c r="K1284" s="91"/>
      <c r="L1284" s="91"/>
      <c r="M1284" s="91"/>
      <c r="N1284" s="91"/>
      <c r="O1284" s="91"/>
      <c r="P1284" s="91"/>
      <c r="Q1284" s="91"/>
      <c r="R1284" s="25"/>
    </row>
    <row r="1285" spans="1:18" x14ac:dyDescent="0.25">
      <c r="A1285" s="163"/>
      <c r="B1285" s="101"/>
      <c r="C1285" s="101"/>
      <c r="D1285" s="101"/>
      <c r="E1285" s="102"/>
      <c r="F1285" s="101"/>
      <c r="G1285" s="96"/>
      <c r="H1285" s="96"/>
      <c r="I1285" s="169" t="s">
        <v>1193</v>
      </c>
      <c r="J1285" s="96"/>
      <c r="K1285" s="96"/>
      <c r="L1285" s="96"/>
      <c r="M1285" s="96"/>
      <c r="N1285" s="96"/>
      <c r="O1285" s="96"/>
      <c r="P1285" s="96"/>
      <c r="Q1285" s="96"/>
      <c r="R1285" s="25"/>
    </row>
    <row r="1286" spans="1:18" s="25" customFormat="1" x14ac:dyDescent="0.25">
      <c r="A1286" s="149"/>
      <c r="B1286" s="148"/>
      <c r="C1286" s="148"/>
      <c r="D1286" s="143" t="s">
        <v>1045</v>
      </c>
      <c r="E1286" s="144" t="s">
        <v>1046</v>
      </c>
      <c r="F1286" s="143" t="s">
        <v>1215</v>
      </c>
      <c r="G1286" s="146"/>
      <c r="H1286" s="146"/>
      <c r="I1286" s="146">
        <v>1</v>
      </c>
      <c r="J1286" s="146">
        <f>SUM(J1287:J1289)</f>
        <v>148.56</v>
      </c>
      <c r="K1286" s="146">
        <f>SUM(K1287:K1289)</f>
        <v>39.450000000000003</v>
      </c>
      <c r="L1286" s="146">
        <f>J1286+K1286</f>
        <v>188.01</v>
      </c>
      <c r="M1286" s="146">
        <f>I1286*J1286</f>
        <v>148.56</v>
      </c>
      <c r="N1286" s="146">
        <f>I1286*K1286</f>
        <v>39.450000000000003</v>
      </c>
      <c r="O1286" s="146">
        <f>M1286+N1286</f>
        <v>188.01</v>
      </c>
      <c r="P1286" s="146">
        <f>O1286*$P$1</f>
        <v>48.243365999999995</v>
      </c>
      <c r="Q1286" s="146">
        <f>P1286+O1286</f>
        <v>236.25336599999997</v>
      </c>
    </row>
    <row r="1287" spans="1:18" x14ac:dyDescent="0.25">
      <c r="A1287" s="134" t="s">
        <v>22</v>
      </c>
      <c r="B1287" s="92"/>
      <c r="C1287" s="92">
        <v>88247</v>
      </c>
      <c r="D1287" s="92"/>
      <c r="E1287" s="107" t="s">
        <v>599</v>
      </c>
      <c r="F1287" s="92" t="s">
        <v>29</v>
      </c>
      <c r="G1287" s="94">
        <v>0.9</v>
      </c>
      <c r="H1287" s="94">
        <f>H825</f>
        <v>19.100000000000001</v>
      </c>
      <c r="I1287" s="116" t="s">
        <v>1193</v>
      </c>
      <c r="J1287" s="94"/>
      <c r="K1287" s="94">
        <f>ROUND(G1287*H1287,2)</f>
        <v>17.190000000000001</v>
      </c>
      <c r="L1287" s="94"/>
      <c r="M1287" s="94"/>
      <c r="N1287" s="94"/>
      <c r="O1287" s="94"/>
      <c r="P1287" s="94"/>
      <c r="Q1287" s="94"/>
      <c r="R1287" s="25"/>
    </row>
    <row r="1288" spans="1:18" x14ac:dyDescent="0.25">
      <c r="A1288" s="133" t="s">
        <v>22</v>
      </c>
      <c r="B1288" s="89"/>
      <c r="C1288" s="89">
        <v>88264</v>
      </c>
      <c r="D1288" s="89"/>
      <c r="E1288" s="90" t="s">
        <v>594</v>
      </c>
      <c r="F1288" s="89" t="s">
        <v>29</v>
      </c>
      <c r="G1288" s="91">
        <v>0.9</v>
      </c>
      <c r="H1288" s="91">
        <f>H826</f>
        <v>24.73</v>
      </c>
      <c r="I1288" s="117" t="s">
        <v>1193</v>
      </c>
      <c r="J1288" s="91"/>
      <c r="K1288" s="91">
        <f>ROUND(G1288*H1288,2)</f>
        <v>22.26</v>
      </c>
      <c r="L1288" s="91"/>
      <c r="M1288" s="91"/>
      <c r="N1288" s="91"/>
      <c r="O1288" s="91"/>
      <c r="P1288" s="91"/>
      <c r="Q1288" s="91"/>
      <c r="R1288" s="25"/>
    </row>
    <row r="1289" spans="1:18" x14ac:dyDescent="0.25">
      <c r="A1289" s="134" t="s">
        <v>22</v>
      </c>
      <c r="B1289" s="92"/>
      <c r="C1289" s="92">
        <v>39456</v>
      </c>
      <c r="D1289" s="92"/>
      <c r="E1289" s="93" t="str">
        <f>E1286</f>
        <v>Dispositivo Tetra polar DR, 40A, sensibilidade 30mA</v>
      </c>
      <c r="F1289" s="92" t="s">
        <v>1215</v>
      </c>
      <c r="G1289" s="94">
        <v>1</v>
      </c>
      <c r="H1289" s="94">
        <v>148.56</v>
      </c>
      <c r="I1289" s="116" t="s">
        <v>1193</v>
      </c>
      <c r="J1289" s="94">
        <f>ROUND(H1289*G1289,2)</f>
        <v>148.56</v>
      </c>
      <c r="K1289" s="94"/>
      <c r="L1289" s="94"/>
      <c r="M1289" s="94"/>
      <c r="N1289" s="94"/>
      <c r="O1289" s="94"/>
      <c r="P1289" s="94"/>
      <c r="Q1289" s="94"/>
      <c r="R1289" s="25"/>
    </row>
    <row r="1290" spans="1:18" x14ac:dyDescent="0.25">
      <c r="A1290" s="159"/>
      <c r="B1290" s="160"/>
      <c r="C1290" s="160"/>
      <c r="D1290" s="160"/>
      <c r="E1290" s="161"/>
      <c r="F1290" s="160"/>
      <c r="G1290" s="162"/>
      <c r="H1290" s="162"/>
      <c r="I1290" s="170" t="s">
        <v>1193</v>
      </c>
      <c r="J1290" s="162"/>
      <c r="K1290" s="162"/>
      <c r="L1290" s="162"/>
      <c r="M1290" s="162"/>
      <c r="N1290" s="162"/>
      <c r="O1290" s="162"/>
      <c r="P1290" s="162"/>
      <c r="Q1290" s="162"/>
      <c r="R1290" s="25"/>
    </row>
    <row r="1291" spans="1:18" s="25" customFormat="1" x14ac:dyDescent="0.25">
      <c r="A1291" s="149"/>
      <c r="B1291" s="148"/>
      <c r="C1291" s="148"/>
      <c r="D1291" s="143" t="s">
        <v>1047</v>
      </c>
      <c r="E1291" s="144" t="s">
        <v>1048</v>
      </c>
      <c r="F1291" s="143" t="s">
        <v>1215</v>
      </c>
      <c r="G1291" s="146"/>
      <c r="H1291" s="146"/>
      <c r="I1291" s="146">
        <v>1</v>
      </c>
      <c r="J1291" s="146">
        <f>SUM(J1292:J1294)</f>
        <v>161.96</v>
      </c>
      <c r="K1291" s="146">
        <f>SUM(K1292:K1294)</f>
        <v>39.450000000000003</v>
      </c>
      <c r="L1291" s="146">
        <f>J1291+K1291</f>
        <v>201.41000000000003</v>
      </c>
      <c r="M1291" s="146">
        <f>I1291*J1291</f>
        <v>161.96</v>
      </c>
      <c r="N1291" s="146">
        <f>I1291*K1291</f>
        <v>39.450000000000003</v>
      </c>
      <c r="O1291" s="146">
        <f>M1291+N1291</f>
        <v>201.41000000000003</v>
      </c>
      <c r="P1291" s="146">
        <f>O1291*$P$1</f>
        <v>51.681806000000009</v>
      </c>
      <c r="Q1291" s="146">
        <f>P1291+O1291</f>
        <v>253.09180600000002</v>
      </c>
    </row>
    <row r="1292" spans="1:18" x14ac:dyDescent="0.25">
      <c r="A1292" s="133" t="s">
        <v>22</v>
      </c>
      <c r="B1292" s="89"/>
      <c r="C1292" s="89">
        <v>88247</v>
      </c>
      <c r="D1292" s="89"/>
      <c r="E1292" s="105" t="s">
        <v>599</v>
      </c>
      <c r="F1292" s="89" t="s">
        <v>29</v>
      </c>
      <c r="G1292" s="91">
        <v>0.9</v>
      </c>
      <c r="H1292" s="91">
        <f>H825</f>
        <v>19.100000000000001</v>
      </c>
      <c r="I1292" s="117" t="s">
        <v>1193</v>
      </c>
      <c r="J1292" s="91"/>
      <c r="K1292" s="91">
        <f>ROUND(G1292*H1292,2)</f>
        <v>17.190000000000001</v>
      </c>
      <c r="L1292" s="91"/>
      <c r="M1292" s="91"/>
      <c r="N1292" s="91"/>
      <c r="O1292" s="91"/>
      <c r="P1292" s="91"/>
      <c r="Q1292" s="91"/>
      <c r="R1292" s="25"/>
    </row>
    <row r="1293" spans="1:18" x14ac:dyDescent="0.25">
      <c r="A1293" s="134" t="s">
        <v>22</v>
      </c>
      <c r="B1293" s="92"/>
      <c r="C1293" s="92">
        <v>88264</v>
      </c>
      <c r="D1293" s="92"/>
      <c r="E1293" s="93" t="s">
        <v>594</v>
      </c>
      <c r="F1293" s="92" t="s">
        <v>29</v>
      </c>
      <c r="G1293" s="94">
        <v>0.9</v>
      </c>
      <c r="H1293" s="94">
        <f>H826</f>
        <v>24.73</v>
      </c>
      <c r="I1293" s="116" t="s">
        <v>1193</v>
      </c>
      <c r="J1293" s="94"/>
      <c r="K1293" s="94">
        <f>ROUND(G1293*H1293,2)</f>
        <v>22.26</v>
      </c>
      <c r="L1293" s="94"/>
      <c r="M1293" s="94"/>
      <c r="N1293" s="94"/>
      <c r="O1293" s="94"/>
      <c r="P1293" s="94"/>
      <c r="Q1293" s="94"/>
      <c r="R1293" s="25"/>
    </row>
    <row r="1294" spans="1:18" x14ac:dyDescent="0.25">
      <c r="A1294" s="133" t="s">
        <v>22</v>
      </c>
      <c r="B1294" s="89"/>
      <c r="C1294" s="89">
        <v>39457</v>
      </c>
      <c r="D1294" s="89"/>
      <c r="E1294" s="90" t="str">
        <f>E1291</f>
        <v>Dispositivo Tetra polar DR 63A, sensibilidade 30mA</v>
      </c>
      <c r="F1294" s="89" t="s">
        <v>1215</v>
      </c>
      <c r="G1294" s="91">
        <v>1</v>
      </c>
      <c r="H1294" s="91">
        <v>161.96</v>
      </c>
      <c r="I1294" s="117" t="s">
        <v>1193</v>
      </c>
      <c r="J1294" s="91">
        <f>ROUND(H1294*G1294,2)</f>
        <v>161.96</v>
      </c>
      <c r="K1294" s="91"/>
      <c r="L1294" s="91"/>
      <c r="M1294" s="91"/>
      <c r="N1294" s="91"/>
      <c r="O1294" s="91"/>
      <c r="P1294" s="91"/>
      <c r="Q1294" s="91"/>
      <c r="R1294" s="25"/>
    </row>
    <row r="1295" spans="1:18" x14ac:dyDescent="0.25">
      <c r="A1295" s="163"/>
      <c r="B1295" s="101"/>
      <c r="C1295" s="101"/>
      <c r="D1295" s="101"/>
      <c r="E1295" s="102"/>
      <c r="F1295" s="101"/>
      <c r="G1295" s="96"/>
      <c r="H1295" s="96"/>
      <c r="I1295" s="169" t="s">
        <v>1193</v>
      </c>
      <c r="J1295" s="96"/>
      <c r="K1295" s="96"/>
      <c r="L1295" s="96"/>
      <c r="M1295" s="96"/>
      <c r="N1295" s="96"/>
      <c r="O1295" s="96"/>
      <c r="P1295" s="96"/>
      <c r="Q1295" s="96"/>
      <c r="R1295" s="25"/>
    </row>
    <row r="1296" spans="1:18" s="25" customFormat="1" x14ac:dyDescent="0.25">
      <c r="A1296" s="149"/>
      <c r="B1296" s="148"/>
      <c r="C1296" s="148"/>
      <c r="D1296" s="143" t="s">
        <v>1049</v>
      </c>
      <c r="E1296" s="144" t="s">
        <v>1050</v>
      </c>
      <c r="F1296" s="143" t="s">
        <v>1215</v>
      </c>
      <c r="G1296" s="146"/>
      <c r="H1296" s="146"/>
      <c r="I1296" s="146">
        <v>1</v>
      </c>
      <c r="J1296" s="146">
        <f>SUM(J1297:J1299)</f>
        <v>302.23</v>
      </c>
      <c r="K1296" s="146">
        <f>SUM(K1297:K1299)</f>
        <v>39.450000000000003</v>
      </c>
      <c r="L1296" s="146">
        <f>J1296+K1296</f>
        <v>341.68</v>
      </c>
      <c r="M1296" s="146">
        <f>I1296*J1296</f>
        <v>302.23</v>
      </c>
      <c r="N1296" s="146">
        <f>I1296*K1296</f>
        <v>39.450000000000003</v>
      </c>
      <c r="O1296" s="146">
        <f>M1296+N1296</f>
        <v>341.68</v>
      </c>
      <c r="P1296" s="146">
        <f>O1296*$P$1</f>
        <v>87.675088000000002</v>
      </c>
      <c r="Q1296" s="146">
        <f>P1296+O1296</f>
        <v>429.35508800000002</v>
      </c>
    </row>
    <row r="1297" spans="1:18" x14ac:dyDescent="0.25">
      <c r="A1297" s="134" t="s">
        <v>22</v>
      </c>
      <c r="B1297" s="92"/>
      <c r="C1297" s="92">
        <v>88247</v>
      </c>
      <c r="D1297" s="92"/>
      <c r="E1297" s="107" t="s">
        <v>599</v>
      </c>
      <c r="F1297" s="92" t="s">
        <v>29</v>
      </c>
      <c r="G1297" s="94">
        <v>0.9</v>
      </c>
      <c r="H1297" s="94">
        <f>H825</f>
        <v>19.100000000000001</v>
      </c>
      <c r="I1297" s="116" t="s">
        <v>1193</v>
      </c>
      <c r="J1297" s="94"/>
      <c r="K1297" s="94">
        <f>ROUND(G1297*H1297,2)</f>
        <v>17.190000000000001</v>
      </c>
      <c r="L1297" s="94"/>
      <c r="M1297" s="94"/>
      <c r="N1297" s="94"/>
      <c r="O1297" s="94"/>
      <c r="P1297" s="94"/>
      <c r="Q1297" s="94"/>
      <c r="R1297" s="25"/>
    </row>
    <row r="1298" spans="1:18" x14ac:dyDescent="0.25">
      <c r="A1298" s="133" t="s">
        <v>22</v>
      </c>
      <c r="B1298" s="89"/>
      <c r="C1298" s="89">
        <v>88264</v>
      </c>
      <c r="D1298" s="89"/>
      <c r="E1298" s="90" t="s">
        <v>594</v>
      </c>
      <c r="F1298" s="89" t="s">
        <v>29</v>
      </c>
      <c r="G1298" s="91">
        <v>0.9</v>
      </c>
      <c r="H1298" s="91">
        <f>H826</f>
        <v>24.73</v>
      </c>
      <c r="I1298" s="117" t="s">
        <v>1193</v>
      </c>
      <c r="J1298" s="91"/>
      <c r="K1298" s="91">
        <f>ROUND(G1298*H1298,2)</f>
        <v>22.26</v>
      </c>
      <c r="L1298" s="91"/>
      <c r="M1298" s="91"/>
      <c r="N1298" s="91"/>
      <c r="O1298" s="91"/>
      <c r="P1298" s="91"/>
      <c r="Q1298" s="91"/>
      <c r="R1298" s="25"/>
    </row>
    <row r="1299" spans="1:18" x14ac:dyDescent="0.25">
      <c r="A1299" s="134" t="s">
        <v>22</v>
      </c>
      <c r="B1299" s="92"/>
      <c r="C1299" s="92">
        <v>39458</v>
      </c>
      <c r="D1299" s="92"/>
      <c r="E1299" s="93" t="str">
        <f>E1296</f>
        <v>Dispositivo Tetra polar DR 80A, sensibilidade 30mA</v>
      </c>
      <c r="F1299" s="92" t="s">
        <v>1215</v>
      </c>
      <c r="G1299" s="94">
        <v>1</v>
      </c>
      <c r="H1299" s="94">
        <v>302.23</v>
      </c>
      <c r="I1299" s="116" t="s">
        <v>1193</v>
      </c>
      <c r="J1299" s="94">
        <f>ROUND(H1299*G1299,2)</f>
        <v>302.23</v>
      </c>
      <c r="K1299" s="94"/>
      <c r="L1299" s="94"/>
      <c r="M1299" s="94"/>
      <c r="N1299" s="94"/>
      <c r="O1299" s="94"/>
      <c r="P1299" s="94"/>
      <c r="Q1299" s="94"/>
      <c r="R1299" s="25"/>
    </row>
    <row r="1300" spans="1:18" x14ac:dyDescent="0.25">
      <c r="A1300" s="159"/>
      <c r="B1300" s="160"/>
      <c r="C1300" s="160"/>
      <c r="D1300" s="160"/>
      <c r="E1300" s="161"/>
      <c r="F1300" s="160"/>
      <c r="G1300" s="162"/>
      <c r="H1300" s="162"/>
      <c r="I1300" s="170" t="s">
        <v>1193</v>
      </c>
      <c r="J1300" s="162"/>
      <c r="K1300" s="162"/>
      <c r="L1300" s="162"/>
      <c r="M1300" s="162"/>
      <c r="N1300" s="162"/>
      <c r="O1300" s="162"/>
      <c r="P1300" s="162"/>
      <c r="Q1300" s="162"/>
      <c r="R1300" s="25"/>
    </row>
    <row r="1301" spans="1:18" s="25" customFormat="1" x14ac:dyDescent="0.25">
      <c r="A1301" s="149"/>
      <c r="B1301" s="148"/>
      <c r="C1301" s="148"/>
      <c r="D1301" s="143" t="s">
        <v>1051</v>
      </c>
      <c r="E1301" s="144" t="s">
        <v>1052</v>
      </c>
      <c r="F1301" s="143" t="s">
        <v>1215</v>
      </c>
      <c r="G1301" s="146"/>
      <c r="H1301" s="146"/>
      <c r="I1301" s="146">
        <v>1</v>
      </c>
      <c r="J1301" s="146">
        <f>SUM(J1302:J1304)</f>
        <v>300.02</v>
      </c>
      <c r="K1301" s="146">
        <f>SUM(K1302:K1304)</f>
        <v>39.450000000000003</v>
      </c>
      <c r="L1301" s="146">
        <f>J1301+K1301</f>
        <v>339.46999999999997</v>
      </c>
      <c r="M1301" s="146">
        <f>I1301*J1301</f>
        <v>300.02</v>
      </c>
      <c r="N1301" s="146">
        <f>I1301*K1301</f>
        <v>39.450000000000003</v>
      </c>
      <c r="O1301" s="146">
        <f>M1301+N1301</f>
        <v>339.46999999999997</v>
      </c>
      <c r="P1301" s="146">
        <f>O1301*$P$1</f>
        <v>87.108001999999985</v>
      </c>
      <c r="Q1301" s="146">
        <f>P1301+O1301</f>
        <v>426.57800199999997</v>
      </c>
    </row>
    <row r="1302" spans="1:18" x14ac:dyDescent="0.25">
      <c r="A1302" s="133" t="s">
        <v>22</v>
      </c>
      <c r="B1302" s="89"/>
      <c r="C1302" s="89">
        <v>88247</v>
      </c>
      <c r="D1302" s="89"/>
      <c r="E1302" s="105" t="s">
        <v>599</v>
      </c>
      <c r="F1302" s="89" t="s">
        <v>29</v>
      </c>
      <c r="G1302" s="91">
        <v>0.9</v>
      </c>
      <c r="H1302" s="91">
        <f>H825</f>
        <v>19.100000000000001</v>
      </c>
      <c r="I1302" s="117" t="s">
        <v>1193</v>
      </c>
      <c r="J1302" s="91"/>
      <c r="K1302" s="91">
        <f>ROUND(G1302*H1302,2)</f>
        <v>17.190000000000001</v>
      </c>
      <c r="L1302" s="91"/>
      <c r="M1302" s="91"/>
      <c r="N1302" s="91"/>
      <c r="O1302" s="91"/>
      <c r="P1302" s="91"/>
      <c r="Q1302" s="91"/>
      <c r="R1302" s="25"/>
    </row>
    <row r="1303" spans="1:18" x14ac:dyDescent="0.25">
      <c r="A1303" s="134" t="s">
        <v>22</v>
      </c>
      <c r="B1303" s="92"/>
      <c r="C1303" s="92">
        <v>88264</v>
      </c>
      <c r="D1303" s="92"/>
      <c r="E1303" s="93" t="s">
        <v>594</v>
      </c>
      <c r="F1303" s="92" t="s">
        <v>29</v>
      </c>
      <c r="G1303" s="94">
        <v>0.9</v>
      </c>
      <c r="H1303" s="94">
        <f>H826</f>
        <v>24.73</v>
      </c>
      <c r="I1303" s="116" t="s">
        <v>1193</v>
      </c>
      <c r="J1303" s="94"/>
      <c r="K1303" s="94">
        <f>ROUND(G1303*H1303,2)</f>
        <v>22.26</v>
      </c>
      <c r="L1303" s="94"/>
      <c r="M1303" s="94"/>
      <c r="N1303" s="94"/>
      <c r="O1303" s="94"/>
      <c r="P1303" s="94"/>
      <c r="Q1303" s="94"/>
      <c r="R1303" s="25"/>
    </row>
    <row r="1304" spans="1:18" x14ac:dyDescent="0.25">
      <c r="A1304" s="133" t="s">
        <v>22</v>
      </c>
      <c r="B1304" s="89"/>
      <c r="C1304" s="89">
        <v>39449</v>
      </c>
      <c r="D1304" s="89"/>
      <c r="E1304" s="90" t="str">
        <f>E1301</f>
        <v>Dispositivo Tetra polar DR 100A, sensibilidade 30mA</v>
      </c>
      <c r="F1304" s="89" t="s">
        <v>1215</v>
      </c>
      <c r="G1304" s="91">
        <v>1</v>
      </c>
      <c r="H1304" s="91">
        <v>300.02</v>
      </c>
      <c r="I1304" s="117" t="s">
        <v>1193</v>
      </c>
      <c r="J1304" s="91">
        <f>ROUND(H1304*G1304,2)</f>
        <v>300.02</v>
      </c>
      <c r="K1304" s="91"/>
      <c r="L1304" s="91"/>
      <c r="M1304" s="91"/>
      <c r="N1304" s="91"/>
      <c r="O1304" s="91"/>
      <c r="P1304" s="91"/>
      <c r="Q1304" s="91"/>
      <c r="R1304" s="25"/>
    </row>
    <row r="1305" spans="1:18" x14ac:dyDescent="0.25">
      <c r="A1305" s="163"/>
      <c r="B1305" s="101"/>
      <c r="C1305" s="101"/>
      <c r="D1305" s="101"/>
      <c r="E1305" s="102"/>
      <c r="F1305" s="101"/>
      <c r="G1305" s="96"/>
      <c r="H1305" s="96"/>
      <c r="I1305" s="169" t="s">
        <v>1193</v>
      </c>
      <c r="J1305" s="96"/>
      <c r="K1305" s="96"/>
      <c r="L1305" s="96"/>
      <c r="M1305" s="96"/>
      <c r="N1305" s="96"/>
      <c r="O1305" s="96"/>
      <c r="P1305" s="96"/>
      <c r="Q1305" s="96"/>
      <c r="R1305" s="25"/>
    </row>
    <row r="1306" spans="1:18" s="25" customFormat="1" ht="30" x14ac:dyDescent="0.25">
      <c r="A1306" s="149" t="s">
        <v>22</v>
      </c>
      <c r="B1306" s="148"/>
      <c r="C1306" s="148">
        <v>93655</v>
      </c>
      <c r="D1306" s="143" t="s">
        <v>1053</v>
      </c>
      <c r="E1306" s="144" t="s">
        <v>1054</v>
      </c>
      <c r="F1306" s="143" t="s">
        <v>1215</v>
      </c>
      <c r="G1306" s="146"/>
      <c r="H1306" s="146"/>
      <c r="I1306" s="146">
        <v>1</v>
      </c>
      <c r="J1306" s="146">
        <f>SUM(J1307:J1310)</f>
        <v>9.59</v>
      </c>
      <c r="K1306" s="146">
        <f>SUM(K1307:K1310)</f>
        <v>2.91</v>
      </c>
      <c r="L1306" s="146">
        <f>J1306+K1306</f>
        <v>12.5</v>
      </c>
      <c r="M1306" s="146">
        <f>I1306*J1306</f>
        <v>9.59</v>
      </c>
      <c r="N1306" s="146">
        <f>I1306*K1306</f>
        <v>2.91</v>
      </c>
      <c r="O1306" s="146">
        <f>M1306+N1306</f>
        <v>12.5</v>
      </c>
      <c r="P1306" s="146">
        <f>O1306*$P$1</f>
        <v>3.2075</v>
      </c>
      <c r="Q1306" s="146">
        <f>P1306+O1306</f>
        <v>15.7075</v>
      </c>
    </row>
    <row r="1307" spans="1:18" x14ac:dyDescent="0.25">
      <c r="A1307" s="134" t="s">
        <v>22</v>
      </c>
      <c r="B1307" s="92"/>
      <c r="C1307" s="92">
        <v>88247</v>
      </c>
      <c r="D1307" s="92"/>
      <c r="E1307" s="107" t="s">
        <v>599</v>
      </c>
      <c r="F1307" s="92" t="s">
        <v>29</v>
      </c>
      <c r="G1307" s="108">
        <v>6.6299999999999998E-2</v>
      </c>
      <c r="H1307" s="94">
        <f>H825</f>
        <v>19.100000000000001</v>
      </c>
      <c r="I1307" s="116" t="s">
        <v>1193</v>
      </c>
      <c r="J1307" s="94"/>
      <c r="K1307" s="94">
        <f>ROUND(G1307*H1307,2)</f>
        <v>1.27</v>
      </c>
      <c r="L1307" s="94"/>
      <c r="M1307" s="94"/>
      <c r="N1307" s="94"/>
      <c r="O1307" s="94"/>
      <c r="P1307" s="94"/>
      <c r="Q1307" s="94"/>
      <c r="R1307" s="25"/>
    </row>
    <row r="1308" spans="1:18" x14ac:dyDescent="0.25">
      <c r="A1308" s="133" t="s">
        <v>22</v>
      </c>
      <c r="B1308" s="89"/>
      <c r="C1308" s="89">
        <v>88264</v>
      </c>
      <c r="D1308" s="89"/>
      <c r="E1308" s="90" t="s">
        <v>594</v>
      </c>
      <c r="F1308" s="89" t="s">
        <v>29</v>
      </c>
      <c r="G1308" s="109">
        <v>6.6299999999999998E-2</v>
      </c>
      <c r="H1308" s="91">
        <f>H826</f>
        <v>24.73</v>
      </c>
      <c r="I1308" s="117" t="s">
        <v>1193</v>
      </c>
      <c r="J1308" s="91"/>
      <c r="K1308" s="91">
        <f>ROUND(G1308*H1308,2)</f>
        <v>1.64</v>
      </c>
      <c r="L1308" s="91"/>
      <c r="M1308" s="91"/>
      <c r="N1308" s="91"/>
      <c r="O1308" s="91"/>
      <c r="P1308" s="91"/>
      <c r="Q1308" s="91"/>
      <c r="R1308" s="25"/>
    </row>
    <row r="1309" spans="1:18" ht="30" x14ac:dyDescent="0.25">
      <c r="A1309" s="134" t="s">
        <v>22</v>
      </c>
      <c r="B1309" s="92"/>
      <c r="C1309" s="92">
        <v>34653</v>
      </c>
      <c r="D1309" s="92"/>
      <c r="E1309" s="95" t="str">
        <f>E1306</f>
        <v>Mini Disjuntor Monopolar de 6 até 32A termomagnético,norma IEC ou NEMA -  tipo de curva característica: C</v>
      </c>
      <c r="F1309" s="92" t="s">
        <v>1215</v>
      </c>
      <c r="G1309" s="94">
        <v>1</v>
      </c>
      <c r="H1309" s="94">
        <v>8.4600000000000009</v>
      </c>
      <c r="I1309" s="116" t="s">
        <v>1193</v>
      </c>
      <c r="J1309" s="94">
        <f>ROUND(H1309*G1309,2)</f>
        <v>8.4600000000000009</v>
      </c>
      <c r="K1309" s="94"/>
      <c r="L1309" s="94"/>
      <c r="M1309" s="94"/>
      <c r="N1309" s="94"/>
      <c r="O1309" s="94"/>
      <c r="P1309" s="94"/>
      <c r="Q1309" s="94"/>
      <c r="R1309" s="25"/>
    </row>
    <row r="1310" spans="1:18" ht="30" x14ac:dyDescent="0.25">
      <c r="A1310" s="133" t="s">
        <v>22</v>
      </c>
      <c r="B1310" s="89"/>
      <c r="C1310" s="89">
        <v>1571</v>
      </c>
      <c r="D1310" s="89"/>
      <c r="E1310" s="100" t="s">
        <v>1055</v>
      </c>
      <c r="F1310" s="89" t="s">
        <v>1215</v>
      </c>
      <c r="G1310" s="91">
        <v>1</v>
      </c>
      <c r="H1310" s="91">
        <v>1.1299999999999999</v>
      </c>
      <c r="I1310" s="117" t="s">
        <v>1193</v>
      </c>
      <c r="J1310" s="91">
        <f>ROUND(H1310*G1310,2)</f>
        <v>1.1299999999999999</v>
      </c>
      <c r="K1310" s="91"/>
      <c r="L1310" s="91"/>
      <c r="M1310" s="91"/>
      <c r="N1310" s="91"/>
      <c r="O1310" s="91"/>
      <c r="P1310" s="91"/>
      <c r="Q1310" s="91"/>
      <c r="R1310" s="25"/>
    </row>
    <row r="1311" spans="1:18" x14ac:dyDescent="0.25">
      <c r="A1311" s="163"/>
      <c r="B1311" s="101"/>
      <c r="C1311" s="101"/>
      <c r="D1311" s="101"/>
      <c r="E1311" s="102"/>
      <c r="F1311" s="101"/>
      <c r="G1311" s="96"/>
      <c r="H1311" s="96"/>
      <c r="I1311" s="169" t="s">
        <v>1193</v>
      </c>
      <c r="J1311" s="96"/>
      <c r="K1311" s="96"/>
      <c r="L1311" s="96"/>
      <c r="M1311" s="96"/>
      <c r="N1311" s="96"/>
      <c r="O1311" s="96"/>
      <c r="P1311" s="96"/>
      <c r="Q1311" s="96"/>
      <c r="R1311" s="25"/>
    </row>
    <row r="1312" spans="1:18" s="25" customFormat="1" ht="30" x14ac:dyDescent="0.25">
      <c r="A1312" s="149" t="s">
        <v>22</v>
      </c>
      <c r="B1312" s="148"/>
      <c r="C1312" s="148">
        <v>93663</v>
      </c>
      <c r="D1312" s="143" t="s">
        <v>1056</v>
      </c>
      <c r="E1312" s="144" t="s">
        <v>1057</v>
      </c>
      <c r="F1312" s="143" t="s">
        <v>1215</v>
      </c>
      <c r="G1312" s="146"/>
      <c r="H1312" s="146"/>
      <c r="I1312" s="146">
        <v>1</v>
      </c>
      <c r="J1312" s="146">
        <f>SUM(J1313:J1316)</f>
        <v>50.769999999999996</v>
      </c>
      <c r="K1312" s="146">
        <f>SUM(K1313:K1316)</f>
        <v>5.81</v>
      </c>
      <c r="L1312" s="146">
        <f>J1312+K1312</f>
        <v>56.58</v>
      </c>
      <c r="M1312" s="146">
        <f>I1312*J1312</f>
        <v>50.769999999999996</v>
      </c>
      <c r="N1312" s="146">
        <f>I1312*K1312</f>
        <v>5.81</v>
      </c>
      <c r="O1312" s="146">
        <f>M1312+N1312</f>
        <v>56.58</v>
      </c>
      <c r="P1312" s="146">
        <f>O1312*$P$1</f>
        <v>14.518428</v>
      </c>
      <c r="Q1312" s="146">
        <f>P1312+O1312</f>
        <v>71.098427999999998</v>
      </c>
    </row>
    <row r="1313" spans="1:18" x14ac:dyDescent="0.25">
      <c r="A1313" s="134" t="s">
        <v>22</v>
      </c>
      <c r="B1313" s="92"/>
      <c r="C1313" s="92">
        <v>88247</v>
      </c>
      <c r="D1313" s="92"/>
      <c r="E1313" s="107" t="s">
        <v>599</v>
      </c>
      <c r="F1313" s="92" t="s">
        <v>29</v>
      </c>
      <c r="G1313" s="108">
        <v>0.13250000000000001</v>
      </c>
      <c r="H1313" s="94">
        <f>H825</f>
        <v>19.100000000000001</v>
      </c>
      <c r="I1313" s="116" t="s">
        <v>1193</v>
      </c>
      <c r="J1313" s="94"/>
      <c r="K1313" s="94">
        <f>ROUND(G1313*H1313,2)</f>
        <v>2.5299999999999998</v>
      </c>
      <c r="L1313" s="94"/>
      <c r="M1313" s="94"/>
      <c r="N1313" s="94"/>
      <c r="O1313" s="94"/>
      <c r="P1313" s="94"/>
      <c r="Q1313" s="94"/>
      <c r="R1313" s="25"/>
    </row>
    <row r="1314" spans="1:18" x14ac:dyDescent="0.25">
      <c r="A1314" s="133" t="s">
        <v>22</v>
      </c>
      <c r="B1314" s="89"/>
      <c r="C1314" s="89">
        <v>88264</v>
      </c>
      <c r="D1314" s="89"/>
      <c r="E1314" s="90" t="s">
        <v>594</v>
      </c>
      <c r="F1314" s="89" t="s">
        <v>29</v>
      </c>
      <c r="G1314" s="109">
        <v>0.13250000000000001</v>
      </c>
      <c r="H1314" s="91">
        <f>H826</f>
        <v>24.73</v>
      </c>
      <c r="I1314" s="117" t="s">
        <v>1193</v>
      </c>
      <c r="J1314" s="91"/>
      <c r="K1314" s="91">
        <f>ROUND(G1314*H1314,2)</f>
        <v>3.28</v>
      </c>
      <c r="L1314" s="91"/>
      <c r="M1314" s="91"/>
      <c r="N1314" s="91"/>
      <c r="O1314" s="91"/>
      <c r="P1314" s="91"/>
      <c r="Q1314" s="91"/>
      <c r="R1314" s="25"/>
    </row>
    <row r="1315" spans="1:18" ht="30" x14ac:dyDescent="0.25">
      <c r="A1315" s="134" t="s">
        <v>22</v>
      </c>
      <c r="B1315" s="92"/>
      <c r="C1315" s="92">
        <v>34616</v>
      </c>
      <c r="D1315" s="92"/>
      <c r="E1315" s="95" t="str">
        <f>E1312</f>
        <v>Mini Disjuntor Bipolar 6 até 50A termomagnético,norma IEC ou NEMA -  tipo de curva característica: C</v>
      </c>
      <c r="F1315" s="92" t="s">
        <v>39</v>
      </c>
      <c r="G1315" s="94">
        <v>1</v>
      </c>
      <c r="H1315" s="94">
        <v>48.51</v>
      </c>
      <c r="I1315" s="116" t="s">
        <v>1193</v>
      </c>
      <c r="J1315" s="94">
        <f>ROUND(H1315*G1315,2)</f>
        <v>48.51</v>
      </c>
      <c r="K1315" s="94"/>
      <c r="L1315" s="94"/>
      <c r="M1315" s="94"/>
      <c r="N1315" s="94"/>
      <c r="O1315" s="94"/>
      <c r="P1315" s="94"/>
      <c r="Q1315" s="94"/>
      <c r="R1315" s="25"/>
    </row>
    <row r="1316" spans="1:18" ht="30" x14ac:dyDescent="0.25">
      <c r="A1316" s="133" t="s">
        <v>22</v>
      </c>
      <c r="B1316" s="89"/>
      <c r="C1316" s="89">
        <v>1571</v>
      </c>
      <c r="D1316" s="89"/>
      <c r="E1316" s="100" t="s">
        <v>1055</v>
      </c>
      <c r="F1316" s="89" t="s">
        <v>1215</v>
      </c>
      <c r="G1316" s="91">
        <v>2</v>
      </c>
      <c r="H1316" s="91">
        <v>1.1299999999999999</v>
      </c>
      <c r="I1316" s="117" t="s">
        <v>1193</v>
      </c>
      <c r="J1316" s="91">
        <f>ROUND(H1316*G1316,2)</f>
        <v>2.2599999999999998</v>
      </c>
      <c r="K1316" s="91"/>
      <c r="L1316" s="91"/>
      <c r="M1316" s="91"/>
      <c r="N1316" s="91"/>
      <c r="O1316" s="91"/>
      <c r="P1316" s="91"/>
      <c r="Q1316" s="91"/>
      <c r="R1316" s="25"/>
    </row>
    <row r="1317" spans="1:18" x14ac:dyDescent="0.25">
      <c r="A1317" s="163"/>
      <c r="B1317" s="101"/>
      <c r="C1317" s="101"/>
      <c r="D1317" s="101"/>
      <c r="E1317" s="102"/>
      <c r="F1317" s="101"/>
      <c r="G1317" s="96"/>
      <c r="H1317" s="96"/>
      <c r="I1317" s="169" t="s">
        <v>1193</v>
      </c>
      <c r="J1317" s="96"/>
      <c r="K1317" s="96"/>
      <c r="L1317" s="96"/>
      <c r="M1317" s="96"/>
      <c r="N1317" s="96"/>
      <c r="O1317" s="96"/>
      <c r="P1317" s="96"/>
      <c r="Q1317" s="96"/>
      <c r="R1317" s="25"/>
    </row>
    <row r="1318" spans="1:18" s="25" customFormat="1" ht="30" x14ac:dyDescent="0.25">
      <c r="A1318" s="149" t="s">
        <v>22</v>
      </c>
      <c r="B1318" s="148"/>
      <c r="C1318" s="148">
        <v>93672</v>
      </c>
      <c r="D1318" s="143" t="s">
        <v>1058</v>
      </c>
      <c r="E1318" s="144" t="s">
        <v>1059</v>
      </c>
      <c r="F1318" s="143" t="s">
        <v>1215</v>
      </c>
      <c r="G1318" s="146"/>
      <c r="H1318" s="146"/>
      <c r="I1318" s="146">
        <v>1</v>
      </c>
      <c r="J1318" s="146">
        <f>SUM(J1319:J1322)</f>
        <v>77.919999999999987</v>
      </c>
      <c r="K1318" s="146">
        <f>SUM(K1319:K1322)</f>
        <v>17.78</v>
      </c>
      <c r="L1318" s="146">
        <f>J1318+K1318</f>
        <v>95.699999999999989</v>
      </c>
      <c r="M1318" s="146">
        <f>I1318*J1318</f>
        <v>77.919999999999987</v>
      </c>
      <c r="N1318" s="146">
        <f>I1318*K1318</f>
        <v>17.78</v>
      </c>
      <c r="O1318" s="146">
        <f>M1318+N1318</f>
        <v>95.699999999999989</v>
      </c>
      <c r="P1318" s="146">
        <f>O1318*$P$1</f>
        <v>24.556619999999995</v>
      </c>
      <c r="Q1318" s="146">
        <f>P1318+O1318</f>
        <v>120.25661999999998</v>
      </c>
    </row>
    <row r="1319" spans="1:18" x14ac:dyDescent="0.25">
      <c r="A1319" s="134" t="s">
        <v>22</v>
      </c>
      <c r="B1319" s="92"/>
      <c r="C1319" s="92">
        <v>88247</v>
      </c>
      <c r="D1319" s="92"/>
      <c r="E1319" s="107" t="s">
        <v>599</v>
      </c>
      <c r="F1319" s="92" t="s">
        <v>29</v>
      </c>
      <c r="G1319" s="108">
        <v>0.40570000000000001</v>
      </c>
      <c r="H1319" s="94">
        <f>H825</f>
        <v>19.100000000000001</v>
      </c>
      <c r="I1319" s="116" t="s">
        <v>1193</v>
      </c>
      <c r="J1319" s="94"/>
      <c r="K1319" s="94">
        <f>ROUND(G1319*H1319,2)</f>
        <v>7.75</v>
      </c>
      <c r="L1319" s="94"/>
      <c r="M1319" s="94"/>
      <c r="N1319" s="94"/>
      <c r="O1319" s="94"/>
      <c r="P1319" s="94"/>
      <c r="Q1319" s="94"/>
      <c r="R1319" s="25"/>
    </row>
    <row r="1320" spans="1:18" x14ac:dyDescent="0.25">
      <c r="A1320" s="133" t="s">
        <v>22</v>
      </c>
      <c r="B1320" s="89"/>
      <c r="C1320" s="89">
        <v>88264</v>
      </c>
      <c r="D1320" s="89"/>
      <c r="E1320" s="90" t="s">
        <v>594</v>
      </c>
      <c r="F1320" s="89" t="s">
        <v>29</v>
      </c>
      <c r="G1320" s="109">
        <v>0.40570000000000001</v>
      </c>
      <c r="H1320" s="91">
        <f>H826</f>
        <v>24.73</v>
      </c>
      <c r="I1320" s="117" t="s">
        <v>1193</v>
      </c>
      <c r="J1320" s="91"/>
      <c r="K1320" s="91">
        <f>ROUND(G1320*H1320,2)</f>
        <v>10.029999999999999</v>
      </c>
      <c r="L1320" s="91"/>
      <c r="M1320" s="91"/>
      <c r="N1320" s="91"/>
      <c r="O1320" s="91"/>
      <c r="P1320" s="91"/>
      <c r="Q1320" s="91"/>
      <c r="R1320" s="25"/>
    </row>
    <row r="1321" spans="1:18" ht="30" x14ac:dyDescent="0.25">
      <c r="A1321" s="134" t="s">
        <v>22</v>
      </c>
      <c r="B1321" s="92"/>
      <c r="C1321" s="92">
        <v>2392</v>
      </c>
      <c r="D1321" s="92"/>
      <c r="E1321" s="95" t="str">
        <f>E1318</f>
        <v>Disjuntor Tripolar 10A  até 50 A, termomagnético,norma IEC ou NEMA -  tipo de curva característica: C</v>
      </c>
      <c r="F1321" s="92" t="s">
        <v>1215</v>
      </c>
      <c r="G1321" s="94">
        <v>1</v>
      </c>
      <c r="H1321" s="94">
        <v>73.569999999999993</v>
      </c>
      <c r="I1321" s="116" t="s">
        <v>1193</v>
      </c>
      <c r="J1321" s="94">
        <f>ROUND(H1321*G1321,2)</f>
        <v>73.569999999999993</v>
      </c>
      <c r="K1321" s="94"/>
      <c r="L1321" s="94"/>
      <c r="M1321" s="94"/>
      <c r="N1321" s="94"/>
      <c r="O1321" s="94"/>
      <c r="P1321" s="94"/>
      <c r="Q1321" s="94"/>
      <c r="R1321" s="25"/>
    </row>
    <row r="1322" spans="1:18" ht="30" x14ac:dyDescent="0.25">
      <c r="A1322" s="133" t="s">
        <v>22</v>
      </c>
      <c r="B1322" s="89"/>
      <c r="C1322" s="89">
        <v>1574</v>
      </c>
      <c r="D1322" s="89"/>
      <c r="E1322" s="100" t="s">
        <v>1060</v>
      </c>
      <c r="F1322" s="89" t="s">
        <v>1215</v>
      </c>
      <c r="G1322" s="91">
        <v>3</v>
      </c>
      <c r="H1322" s="91">
        <v>1.45</v>
      </c>
      <c r="I1322" s="117" t="s">
        <v>1193</v>
      </c>
      <c r="J1322" s="91">
        <f>ROUND(H1322*G1322,2)</f>
        <v>4.3499999999999996</v>
      </c>
      <c r="K1322" s="91"/>
      <c r="L1322" s="91"/>
      <c r="M1322" s="91"/>
      <c r="N1322" s="91"/>
      <c r="O1322" s="91"/>
      <c r="P1322" s="91"/>
      <c r="Q1322" s="91"/>
      <c r="R1322" s="25"/>
    </row>
    <row r="1323" spans="1:18" x14ac:dyDescent="0.25">
      <c r="A1323" s="163"/>
      <c r="B1323" s="101"/>
      <c r="C1323" s="101"/>
      <c r="D1323" s="101"/>
      <c r="E1323" s="102"/>
      <c r="F1323" s="101"/>
      <c r="G1323" s="96"/>
      <c r="H1323" s="96"/>
      <c r="I1323" s="169" t="s">
        <v>1193</v>
      </c>
      <c r="J1323" s="96"/>
      <c r="K1323" s="96"/>
      <c r="L1323" s="96"/>
      <c r="M1323" s="96"/>
      <c r="N1323" s="96"/>
      <c r="O1323" s="96"/>
      <c r="P1323" s="96"/>
      <c r="Q1323" s="96"/>
      <c r="R1323" s="25"/>
    </row>
    <row r="1324" spans="1:18" s="25" customFormat="1" ht="30" x14ac:dyDescent="0.25">
      <c r="A1324" s="149" t="s">
        <v>22</v>
      </c>
      <c r="B1324" s="148"/>
      <c r="C1324" s="148">
        <v>101894</v>
      </c>
      <c r="D1324" s="143" t="s">
        <v>1061</v>
      </c>
      <c r="E1324" s="144" t="s">
        <v>1062</v>
      </c>
      <c r="F1324" s="143" t="s">
        <v>1215</v>
      </c>
      <c r="G1324" s="146"/>
      <c r="H1324" s="146"/>
      <c r="I1324" s="146">
        <v>1</v>
      </c>
      <c r="J1324" s="146">
        <f>SUM(J1325:J1328)</f>
        <v>110.83</v>
      </c>
      <c r="K1324" s="146">
        <f>SUM(K1325:K1328)</f>
        <v>34.32</v>
      </c>
      <c r="L1324" s="146">
        <f>J1324+K1324</f>
        <v>145.15</v>
      </c>
      <c r="M1324" s="146">
        <f>I1324*J1324</f>
        <v>110.83</v>
      </c>
      <c r="N1324" s="146">
        <f>I1324*K1324</f>
        <v>34.32</v>
      </c>
      <c r="O1324" s="146">
        <f>M1324+N1324</f>
        <v>145.15</v>
      </c>
      <c r="P1324" s="146">
        <f>O1324*$P$1</f>
        <v>37.245490000000004</v>
      </c>
      <c r="Q1324" s="146">
        <f>P1324+O1324</f>
        <v>182.39549</v>
      </c>
    </row>
    <row r="1325" spans="1:18" x14ac:dyDescent="0.25">
      <c r="A1325" s="134" t="s">
        <v>22</v>
      </c>
      <c r="B1325" s="92"/>
      <c r="C1325" s="92">
        <v>88247</v>
      </c>
      <c r="D1325" s="92"/>
      <c r="E1325" s="107" t="s">
        <v>599</v>
      </c>
      <c r="F1325" s="92" t="s">
        <v>29</v>
      </c>
      <c r="G1325" s="108">
        <v>0.78300000000000003</v>
      </c>
      <c r="H1325" s="94">
        <f>H825</f>
        <v>19.100000000000001</v>
      </c>
      <c r="I1325" s="116" t="s">
        <v>1193</v>
      </c>
      <c r="J1325" s="94"/>
      <c r="K1325" s="94">
        <f>ROUND(G1325*H1325,2)</f>
        <v>14.96</v>
      </c>
      <c r="L1325" s="94"/>
      <c r="M1325" s="94"/>
      <c r="N1325" s="94"/>
      <c r="O1325" s="94"/>
      <c r="P1325" s="94"/>
      <c r="Q1325" s="94"/>
      <c r="R1325" s="25"/>
    </row>
    <row r="1326" spans="1:18" x14ac:dyDescent="0.25">
      <c r="A1326" s="133" t="s">
        <v>22</v>
      </c>
      <c r="B1326" s="89"/>
      <c r="C1326" s="89">
        <v>88264</v>
      </c>
      <c r="D1326" s="89"/>
      <c r="E1326" s="90" t="s">
        <v>594</v>
      </c>
      <c r="F1326" s="89" t="s">
        <v>29</v>
      </c>
      <c r="G1326" s="109">
        <v>0.78300000000000003</v>
      </c>
      <c r="H1326" s="91">
        <f>H826</f>
        <v>24.73</v>
      </c>
      <c r="I1326" s="117" t="s">
        <v>1193</v>
      </c>
      <c r="J1326" s="91"/>
      <c r="K1326" s="91">
        <f>ROUND(G1326*H1326,2)</f>
        <v>19.36</v>
      </c>
      <c r="L1326" s="91"/>
      <c r="M1326" s="91"/>
      <c r="N1326" s="91"/>
      <c r="O1326" s="91"/>
      <c r="P1326" s="91"/>
      <c r="Q1326" s="91"/>
      <c r="R1326" s="25"/>
    </row>
    <row r="1327" spans="1:18" ht="30" x14ac:dyDescent="0.25">
      <c r="A1327" s="134" t="s">
        <v>22</v>
      </c>
      <c r="B1327" s="92"/>
      <c r="C1327" s="92">
        <v>2373</v>
      </c>
      <c r="D1327" s="92"/>
      <c r="E1327" s="95" t="str">
        <f>E1324</f>
        <v>Disjuntor Tripolar 60A até  100A termomagnético,norma IEC ou NEMA -  tipo de curva característica: C</v>
      </c>
      <c r="F1327" s="92" t="s">
        <v>1215</v>
      </c>
      <c r="G1327" s="94">
        <v>1</v>
      </c>
      <c r="H1327" s="94">
        <v>103.66</v>
      </c>
      <c r="I1327" s="116" t="s">
        <v>1193</v>
      </c>
      <c r="J1327" s="94">
        <f>ROUND(H1327*G1327,2)</f>
        <v>103.66</v>
      </c>
      <c r="K1327" s="94"/>
      <c r="L1327" s="94"/>
      <c r="M1327" s="94"/>
      <c r="N1327" s="94"/>
      <c r="O1327" s="94"/>
      <c r="P1327" s="94"/>
      <c r="Q1327" s="94"/>
      <c r="R1327" s="25"/>
    </row>
    <row r="1328" spans="1:18" ht="30" x14ac:dyDescent="0.25">
      <c r="A1328" s="133" t="s">
        <v>22</v>
      </c>
      <c r="B1328" s="89"/>
      <c r="C1328" s="89">
        <v>1576</v>
      </c>
      <c r="D1328" s="89"/>
      <c r="E1328" s="100" t="s">
        <v>1063</v>
      </c>
      <c r="F1328" s="89" t="s">
        <v>1215</v>
      </c>
      <c r="G1328" s="91">
        <v>3</v>
      </c>
      <c r="H1328" s="91">
        <v>2.39</v>
      </c>
      <c r="I1328" s="117" t="s">
        <v>1193</v>
      </c>
      <c r="J1328" s="91">
        <f>ROUND(H1328*G1328,2)</f>
        <v>7.17</v>
      </c>
      <c r="K1328" s="91"/>
      <c r="L1328" s="91"/>
      <c r="M1328" s="91"/>
      <c r="N1328" s="91"/>
      <c r="O1328" s="91"/>
      <c r="P1328" s="91"/>
      <c r="Q1328" s="91"/>
      <c r="R1328" s="25"/>
    </row>
    <row r="1329" spans="1:18" x14ac:dyDescent="0.25">
      <c r="A1329" s="163"/>
      <c r="B1329" s="101"/>
      <c r="C1329" s="101"/>
      <c r="D1329" s="101"/>
      <c r="E1329" s="102"/>
      <c r="F1329" s="101"/>
      <c r="G1329" s="96"/>
      <c r="H1329" s="96"/>
      <c r="I1329" s="169" t="s">
        <v>1193</v>
      </c>
      <c r="J1329" s="96"/>
      <c r="K1329" s="96"/>
      <c r="L1329" s="96"/>
      <c r="M1329" s="96"/>
      <c r="N1329" s="96"/>
      <c r="O1329" s="96"/>
      <c r="P1329" s="96"/>
      <c r="Q1329" s="96"/>
      <c r="R1329" s="25"/>
    </row>
    <row r="1330" spans="1:18" s="25" customFormat="1" ht="30" x14ac:dyDescent="0.25">
      <c r="A1330" s="149" t="s">
        <v>22</v>
      </c>
      <c r="B1330" s="148"/>
      <c r="C1330" s="148">
        <v>101895</v>
      </c>
      <c r="D1330" s="143" t="s">
        <v>1064</v>
      </c>
      <c r="E1330" s="144" t="s">
        <v>1065</v>
      </c>
      <c r="F1330" s="143" t="s">
        <v>1215</v>
      </c>
      <c r="G1330" s="146"/>
      <c r="H1330" s="146"/>
      <c r="I1330" s="146">
        <v>1</v>
      </c>
      <c r="J1330" s="146">
        <f>SUM(J1331:J1334)</f>
        <v>338.18</v>
      </c>
      <c r="K1330" s="146">
        <f>SUM(K1331:K1334)</f>
        <v>57.989999999999995</v>
      </c>
      <c r="L1330" s="146">
        <f>J1330+K1330</f>
        <v>396.17</v>
      </c>
      <c r="M1330" s="146">
        <f>I1330*J1330</f>
        <v>338.18</v>
      </c>
      <c r="N1330" s="146">
        <f>I1330*K1330</f>
        <v>57.989999999999995</v>
      </c>
      <c r="O1330" s="146">
        <f>M1330+N1330</f>
        <v>396.17</v>
      </c>
      <c r="P1330" s="146">
        <f>O1330*$P$1</f>
        <v>101.657222</v>
      </c>
      <c r="Q1330" s="146">
        <f>P1330+O1330</f>
        <v>497.82722200000001</v>
      </c>
    </row>
    <row r="1331" spans="1:18" x14ac:dyDescent="0.25">
      <c r="A1331" s="134" t="s">
        <v>22</v>
      </c>
      <c r="B1331" s="92"/>
      <c r="C1331" s="92">
        <v>88247</v>
      </c>
      <c r="D1331" s="92"/>
      <c r="E1331" s="107" t="s">
        <v>599</v>
      </c>
      <c r="F1331" s="92" t="s">
        <v>29</v>
      </c>
      <c r="G1331" s="108">
        <v>1.3231999999999999</v>
      </c>
      <c r="H1331" s="94">
        <f>H825</f>
        <v>19.100000000000001</v>
      </c>
      <c r="I1331" s="116" t="s">
        <v>1193</v>
      </c>
      <c r="J1331" s="94"/>
      <c r="K1331" s="94">
        <f>ROUND(G1331*H1331,2)</f>
        <v>25.27</v>
      </c>
      <c r="L1331" s="94"/>
      <c r="M1331" s="94"/>
      <c r="N1331" s="94"/>
      <c r="O1331" s="94"/>
      <c r="P1331" s="94"/>
      <c r="Q1331" s="94"/>
      <c r="R1331" s="25"/>
    </row>
    <row r="1332" spans="1:18" x14ac:dyDescent="0.25">
      <c r="A1332" s="133" t="s">
        <v>22</v>
      </c>
      <c r="B1332" s="89"/>
      <c r="C1332" s="89">
        <v>88264</v>
      </c>
      <c r="D1332" s="89"/>
      <c r="E1332" s="90" t="s">
        <v>594</v>
      </c>
      <c r="F1332" s="89" t="s">
        <v>29</v>
      </c>
      <c r="G1332" s="109">
        <v>1.3231999999999999</v>
      </c>
      <c r="H1332" s="91">
        <f>H826</f>
        <v>24.73</v>
      </c>
      <c r="I1332" s="117" t="s">
        <v>1193</v>
      </c>
      <c r="J1332" s="91"/>
      <c r="K1332" s="91">
        <f>ROUND(G1332*H1332,2)</f>
        <v>32.72</v>
      </c>
      <c r="L1332" s="91"/>
      <c r="M1332" s="91"/>
      <c r="N1332" s="91"/>
      <c r="O1332" s="91"/>
      <c r="P1332" s="91"/>
      <c r="Q1332" s="91"/>
      <c r="R1332" s="25"/>
    </row>
    <row r="1333" spans="1:18" ht="30" x14ac:dyDescent="0.25">
      <c r="A1333" s="134" t="s">
        <v>22</v>
      </c>
      <c r="B1333" s="92"/>
      <c r="C1333" s="92">
        <v>2391</v>
      </c>
      <c r="D1333" s="92"/>
      <c r="E1333" s="95" t="str">
        <f>E1330</f>
        <v>Disjuntor Tripolar 125A termomagnético,norma IEC ou NEMA -  tipo de curva característica: C</v>
      </c>
      <c r="F1333" s="92" t="s">
        <v>1215</v>
      </c>
      <c r="G1333" s="94">
        <v>1</v>
      </c>
      <c r="H1333" s="94">
        <v>324.17</v>
      </c>
      <c r="I1333" s="116" t="s">
        <v>1193</v>
      </c>
      <c r="J1333" s="94">
        <f>ROUND(H1333*G1333,2)</f>
        <v>324.17</v>
      </c>
      <c r="K1333" s="94"/>
      <c r="L1333" s="94"/>
      <c r="M1333" s="94"/>
      <c r="N1333" s="94"/>
      <c r="O1333" s="94"/>
      <c r="P1333" s="94"/>
      <c r="Q1333" s="94"/>
      <c r="R1333" s="25"/>
    </row>
    <row r="1334" spans="1:18" ht="30" x14ac:dyDescent="0.25">
      <c r="A1334" s="133" t="s">
        <v>22</v>
      </c>
      <c r="B1334" s="89"/>
      <c r="C1334" s="89">
        <v>1578</v>
      </c>
      <c r="D1334" s="89"/>
      <c r="E1334" s="100" t="s">
        <v>1066</v>
      </c>
      <c r="F1334" s="89" t="s">
        <v>1215</v>
      </c>
      <c r="G1334" s="91">
        <v>3</v>
      </c>
      <c r="H1334" s="91">
        <v>4.67</v>
      </c>
      <c r="I1334" s="117" t="s">
        <v>1193</v>
      </c>
      <c r="J1334" s="91">
        <f>ROUND(H1334*G1334,2)</f>
        <v>14.01</v>
      </c>
      <c r="K1334" s="91"/>
      <c r="L1334" s="91"/>
      <c r="M1334" s="91"/>
      <c r="N1334" s="91"/>
      <c r="O1334" s="91"/>
      <c r="P1334" s="91"/>
      <c r="Q1334" s="91"/>
      <c r="R1334" s="25"/>
    </row>
    <row r="1335" spans="1:18" x14ac:dyDescent="0.25">
      <c r="A1335" s="163"/>
      <c r="B1335" s="101"/>
      <c r="C1335" s="101"/>
      <c r="D1335" s="101"/>
      <c r="E1335" s="102"/>
      <c r="F1335" s="101"/>
      <c r="G1335" s="96"/>
      <c r="H1335" s="96"/>
      <c r="I1335" s="169" t="s">
        <v>1193</v>
      </c>
      <c r="J1335" s="96"/>
      <c r="K1335" s="96"/>
      <c r="L1335" s="96"/>
      <c r="M1335" s="96"/>
      <c r="N1335" s="96"/>
      <c r="O1335" s="96"/>
      <c r="P1335" s="96"/>
      <c r="Q1335" s="96"/>
      <c r="R1335" s="25"/>
    </row>
    <row r="1336" spans="1:18" s="25" customFormat="1" ht="30" x14ac:dyDescent="0.25">
      <c r="A1336" s="149"/>
      <c r="B1336" s="148"/>
      <c r="C1336" s="148"/>
      <c r="D1336" s="143" t="s">
        <v>1067</v>
      </c>
      <c r="E1336" s="144" t="s">
        <v>1068</v>
      </c>
      <c r="F1336" s="143" t="s">
        <v>1215</v>
      </c>
      <c r="G1336" s="146"/>
      <c r="H1336" s="146"/>
      <c r="I1336" s="146">
        <v>1</v>
      </c>
      <c r="J1336" s="146">
        <f>SUM(J1337:J1340)</f>
        <v>385.25</v>
      </c>
      <c r="K1336" s="146">
        <f>SUM(K1337:K1340)</f>
        <v>57.989999999999995</v>
      </c>
      <c r="L1336" s="146">
        <f>J1336+K1336</f>
        <v>443.24</v>
      </c>
      <c r="M1336" s="146">
        <f>I1336*J1336</f>
        <v>385.25</v>
      </c>
      <c r="N1336" s="146">
        <f>I1336*K1336</f>
        <v>57.989999999999995</v>
      </c>
      <c r="O1336" s="146">
        <f>M1336+N1336</f>
        <v>443.24</v>
      </c>
      <c r="P1336" s="146">
        <f>O1336*$P$1</f>
        <v>113.735384</v>
      </c>
      <c r="Q1336" s="146">
        <f>P1336+O1336</f>
        <v>556.97538399999996</v>
      </c>
    </row>
    <row r="1337" spans="1:18" x14ac:dyDescent="0.25">
      <c r="A1337" s="134" t="s">
        <v>22</v>
      </c>
      <c r="B1337" s="92"/>
      <c r="C1337" s="92">
        <v>88247</v>
      </c>
      <c r="D1337" s="92"/>
      <c r="E1337" s="107" t="s">
        <v>599</v>
      </c>
      <c r="F1337" s="92" t="s">
        <v>29</v>
      </c>
      <c r="G1337" s="108">
        <v>1.3231999999999999</v>
      </c>
      <c r="H1337" s="94">
        <f>H825</f>
        <v>19.100000000000001</v>
      </c>
      <c r="I1337" s="116" t="s">
        <v>1193</v>
      </c>
      <c r="J1337" s="94"/>
      <c r="K1337" s="94">
        <f>ROUND(G1337*H1337,2)</f>
        <v>25.27</v>
      </c>
      <c r="L1337" s="94"/>
      <c r="M1337" s="94"/>
      <c r="N1337" s="94"/>
      <c r="O1337" s="94"/>
      <c r="P1337" s="94"/>
      <c r="Q1337" s="94"/>
      <c r="R1337" s="25"/>
    </row>
    <row r="1338" spans="1:18" x14ac:dyDescent="0.25">
      <c r="A1338" s="133" t="s">
        <v>22</v>
      </c>
      <c r="B1338" s="89"/>
      <c r="C1338" s="89">
        <v>88264</v>
      </c>
      <c r="D1338" s="89"/>
      <c r="E1338" s="90" t="s">
        <v>594</v>
      </c>
      <c r="F1338" s="89" t="s">
        <v>29</v>
      </c>
      <c r="G1338" s="109">
        <v>1.3231999999999999</v>
      </c>
      <c r="H1338" s="91">
        <f>H826</f>
        <v>24.73</v>
      </c>
      <c r="I1338" s="117" t="s">
        <v>1193</v>
      </c>
      <c r="J1338" s="91"/>
      <c r="K1338" s="91">
        <f>ROUND(G1338*H1338,2)</f>
        <v>32.72</v>
      </c>
      <c r="L1338" s="91"/>
      <c r="M1338" s="91"/>
      <c r="N1338" s="91"/>
      <c r="O1338" s="91"/>
      <c r="P1338" s="91"/>
      <c r="Q1338" s="91"/>
      <c r="R1338" s="25"/>
    </row>
    <row r="1339" spans="1:18" ht="30" x14ac:dyDescent="0.25">
      <c r="A1339" s="134" t="s">
        <v>22</v>
      </c>
      <c r="B1339" s="92"/>
      <c r="C1339" s="92">
        <v>2374</v>
      </c>
      <c r="D1339" s="92"/>
      <c r="E1339" s="95" t="str">
        <f>E1336</f>
        <v>Disjuntor Tripolar 150A termomagnético,norma IEC ou NEMA -  tipo de curva característica: C</v>
      </c>
      <c r="F1339" s="92" t="s">
        <v>1215</v>
      </c>
      <c r="G1339" s="94">
        <v>1</v>
      </c>
      <c r="H1339" s="94">
        <v>367.76</v>
      </c>
      <c r="I1339" s="116" t="s">
        <v>1193</v>
      </c>
      <c r="J1339" s="94">
        <f>ROUND(H1339*G1339,2)</f>
        <v>367.76</v>
      </c>
      <c r="K1339" s="94"/>
      <c r="L1339" s="94"/>
      <c r="M1339" s="94"/>
      <c r="N1339" s="94"/>
      <c r="O1339" s="94"/>
      <c r="P1339" s="94"/>
      <c r="Q1339" s="94"/>
      <c r="R1339" s="25"/>
    </row>
    <row r="1340" spans="1:18" ht="30" x14ac:dyDescent="0.25">
      <c r="A1340" s="133" t="s">
        <v>22</v>
      </c>
      <c r="B1340" s="89"/>
      <c r="C1340" s="89">
        <v>1579</v>
      </c>
      <c r="D1340" s="89"/>
      <c r="E1340" s="100" t="s">
        <v>1069</v>
      </c>
      <c r="F1340" s="89" t="s">
        <v>1215</v>
      </c>
      <c r="G1340" s="91">
        <v>3</v>
      </c>
      <c r="H1340" s="91">
        <v>5.83</v>
      </c>
      <c r="I1340" s="117" t="s">
        <v>1193</v>
      </c>
      <c r="J1340" s="91">
        <f>ROUND(H1340*G1340,2)</f>
        <v>17.489999999999998</v>
      </c>
      <c r="K1340" s="91"/>
      <c r="L1340" s="91"/>
      <c r="M1340" s="91"/>
      <c r="N1340" s="91"/>
      <c r="O1340" s="91"/>
      <c r="P1340" s="91"/>
      <c r="Q1340" s="91"/>
      <c r="R1340" s="25"/>
    </row>
    <row r="1341" spans="1:18" x14ac:dyDescent="0.25">
      <c r="A1341" s="163"/>
      <c r="B1341" s="101"/>
      <c r="C1341" s="101"/>
      <c r="D1341" s="101"/>
      <c r="E1341" s="102"/>
      <c r="F1341" s="101"/>
      <c r="G1341" s="96"/>
      <c r="H1341" s="96"/>
      <c r="I1341" s="169" t="s">
        <v>1193</v>
      </c>
      <c r="J1341" s="96"/>
      <c r="K1341" s="96"/>
      <c r="L1341" s="96"/>
      <c r="M1341" s="96"/>
      <c r="N1341" s="96"/>
      <c r="O1341" s="96"/>
      <c r="P1341" s="96"/>
      <c r="Q1341" s="96"/>
      <c r="R1341" s="25"/>
    </row>
    <row r="1342" spans="1:18" s="25" customFormat="1" ht="30" x14ac:dyDescent="0.25">
      <c r="A1342" s="149" t="s">
        <v>22</v>
      </c>
      <c r="B1342" s="148"/>
      <c r="C1342" s="148">
        <v>101896</v>
      </c>
      <c r="D1342" s="143" t="s">
        <v>1070</v>
      </c>
      <c r="E1342" s="144" t="s">
        <v>1071</v>
      </c>
      <c r="F1342" s="143" t="s">
        <v>1215</v>
      </c>
      <c r="G1342" s="146"/>
      <c r="H1342" s="146"/>
      <c r="I1342" s="146">
        <v>1</v>
      </c>
      <c r="J1342" s="146">
        <f>SUM(J1343:J1346)</f>
        <v>537.62</v>
      </c>
      <c r="K1342" s="146">
        <f>SUM(K1343:K1346)</f>
        <v>57.989999999999995</v>
      </c>
      <c r="L1342" s="146">
        <f>J1342+K1342</f>
        <v>595.61</v>
      </c>
      <c r="M1342" s="146">
        <f>I1342*J1342</f>
        <v>537.62</v>
      </c>
      <c r="N1342" s="146">
        <f>I1342*K1342</f>
        <v>57.989999999999995</v>
      </c>
      <c r="O1342" s="146">
        <f>M1342+N1342</f>
        <v>595.61</v>
      </c>
      <c r="P1342" s="146">
        <f>O1342*$P$1</f>
        <v>152.83352600000001</v>
      </c>
      <c r="Q1342" s="146">
        <f>P1342+O1342</f>
        <v>748.44352600000002</v>
      </c>
    </row>
    <row r="1343" spans="1:18" x14ac:dyDescent="0.25">
      <c r="A1343" s="134" t="s">
        <v>22</v>
      </c>
      <c r="B1343" s="92"/>
      <c r="C1343" s="92">
        <v>88247</v>
      </c>
      <c r="D1343" s="92"/>
      <c r="E1343" s="107" t="s">
        <v>599</v>
      </c>
      <c r="F1343" s="92" t="s">
        <v>29</v>
      </c>
      <c r="G1343" s="108">
        <v>1.3231999999999999</v>
      </c>
      <c r="H1343" s="94">
        <f>H825</f>
        <v>19.100000000000001</v>
      </c>
      <c r="I1343" s="116" t="s">
        <v>1193</v>
      </c>
      <c r="J1343" s="94"/>
      <c r="K1343" s="94">
        <f>ROUND(G1343*H1343,2)</f>
        <v>25.27</v>
      </c>
      <c r="L1343" s="94"/>
      <c r="M1343" s="94"/>
      <c r="N1343" s="94"/>
      <c r="O1343" s="94"/>
      <c r="P1343" s="94"/>
      <c r="Q1343" s="94"/>
      <c r="R1343" s="25"/>
    </row>
    <row r="1344" spans="1:18" x14ac:dyDescent="0.25">
      <c r="A1344" s="133" t="s">
        <v>22</v>
      </c>
      <c r="B1344" s="89"/>
      <c r="C1344" s="89">
        <v>88264</v>
      </c>
      <c r="D1344" s="89"/>
      <c r="E1344" s="90" t="s">
        <v>594</v>
      </c>
      <c r="F1344" s="89" t="s">
        <v>29</v>
      </c>
      <c r="G1344" s="109">
        <v>1.3231999999999999</v>
      </c>
      <c r="H1344" s="91">
        <f>H826</f>
        <v>24.73</v>
      </c>
      <c r="I1344" s="117" t="s">
        <v>1193</v>
      </c>
      <c r="J1344" s="91"/>
      <c r="K1344" s="91">
        <f>ROUND(G1344*H1344,2)</f>
        <v>32.72</v>
      </c>
      <c r="L1344" s="91"/>
      <c r="M1344" s="91"/>
      <c r="N1344" s="91"/>
      <c r="O1344" s="91"/>
      <c r="P1344" s="91"/>
      <c r="Q1344" s="91"/>
      <c r="R1344" s="25"/>
    </row>
    <row r="1345" spans="1:18" ht="30" x14ac:dyDescent="0.25">
      <c r="A1345" s="134" t="s">
        <v>22</v>
      </c>
      <c r="B1345" s="92"/>
      <c r="C1345" s="92">
        <v>2377</v>
      </c>
      <c r="D1345" s="92"/>
      <c r="E1345" s="95" t="str">
        <f>E1342</f>
        <v>Disjuntor Tripolar 200 termomagnético,norma IEC ou NEMA -  tipo de curva característica: C</v>
      </c>
      <c r="F1345" s="92" t="s">
        <v>1215</v>
      </c>
      <c r="G1345" s="94">
        <v>1</v>
      </c>
      <c r="H1345" s="94">
        <v>516.11</v>
      </c>
      <c r="I1345" s="116" t="s">
        <v>1193</v>
      </c>
      <c r="J1345" s="94">
        <f>ROUND(H1345*G1345,2)</f>
        <v>516.11</v>
      </c>
      <c r="K1345" s="94"/>
      <c r="L1345" s="94"/>
      <c r="M1345" s="94"/>
      <c r="N1345" s="94"/>
      <c r="O1345" s="94"/>
      <c r="P1345" s="94"/>
      <c r="Q1345" s="94"/>
      <c r="R1345" s="25"/>
    </row>
    <row r="1346" spans="1:18" ht="30" x14ac:dyDescent="0.25">
      <c r="A1346" s="133" t="s">
        <v>22</v>
      </c>
      <c r="B1346" s="89"/>
      <c r="C1346" s="89">
        <v>1580</v>
      </c>
      <c r="D1346" s="89"/>
      <c r="E1346" s="100" t="s">
        <v>1072</v>
      </c>
      <c r="F1346" s="89" t="s">
        <v>1215</v>
      </c>
      <c r="G1346" s="91">
        <v>3</v>
      </c>
      <c r="H1346" s="91">
        <v>7.17</v>
      </c>
      <c r="I1346" s="117" t="s">
        <v>1193</v>
      </c>
      <c r="J1346" s="91">
        <f>ROUND(H1346*G1346,2)</f>
        <v>21.51</v>
      </c>
      <c r="K1346" s="91"/>
      <c r="L1346" s="91"/>
      <c r="M1346" s="91"/>
      <c r="N1346" s="91"/>
      <c r="O1346" s="91"/>
      <c r="P1346" s="91"/>
      <c r="Q1346" s="91"/>
      <c r="R1346" s="25"/>
    </row>
    <row r="1347" spans="1:18" x14ac:dyDescent="0.25">
      <c r="A1347" s="163"/>
      <c r="B1347" s="101"/>
      <c r="C1347" s="101"/>
      <c r="D1347" s="101"/>
      <c r="E1347" s="102"/>
      <c r="F1347" s="101"/>
      <c r="G1347" s="96"/>
      <c r="H1347" s="96"/>
      <c r="I1347" s="169" t="s">
        <v>1193</v>
      </c>
      <c r="J1347" s="96"/>
      <c r="K1347" s="96"/>
      <c r="L1347" s="96"/>
      <c r="M1347" s="96"/>
      <c r="N1347" s="96"/>
      <c r="O1347" s="96"/>
      <c r="P1347" s="96"/>
      <c r="Q1347" s="96"/>
      <c r="R1347" s="25"/>
    </row>
    <row r="1348" spans="1:18" s="25" customFormat="1" ht="30" x14ac:dyDescent="0.25">
      <c r="A1348" s="149" t="s">
        <v>22</v>
      </c>
      <c r="B1348" s="148"/>
      <c r="C1348" s="148">
        <v>101898</v>
      </c>
      <c r="D1348" s="143" t="s">
        <v>1073</v>
      </c>
      <c r="E1348" s="144" t="s">
        <v>1074</v>
      </c>
      <c r="F1348" s="143" t="s">
        <v>1215</v>
      </c>
      <c r="G1348" s="146"/>
      <c r="H1348" s="146"/>
      <c r="I1348" s="146">
        <v>1</v>
      </c>
      <c r="J1348" s="146">
        <f>SUM(J1349:J1352)</f>
        <v>1217.51</v>
      </c>
      <c r="K1348" s="146">
        <f>SUM(K1349:K1352)</f>
        <v>57.989999999999995</v>
      </c>
      <c r="L1348" s="146">
        <f>J1348+K1348</f>
        <v>1275.5</v>
      </c>
      <c r="M1348" s="146">
        <f>I1348*J1348</f>
        <v>1217.51</v>
      </c>
      <c r="N1348" s="146">
        <f>I1348*K1348</f>
        <v>57.989999999999995</v>
      </c>
      <c r="O1348" s="146">
        <f>M1348+N1348</f>
        <v>1275.5</v>
      </c>
      <c r="P1348" s="146">
        <f>O1348*$P$1</f>
        <v>327.29329999999999</v>
      </c>
      <c r="Q1348" s="146">
        <f>P1348+O1348</f>
        <v>1602.7933</v>
      </c>
    </row>
    <row r="1349" spans="1:18" x14ac:dyDescent="0.25">
      <c r="A1349" s="134" t="s">
        <v>22</v>
      </c>
      <c r="B1349" s="92"/>
      <c r="C1349" s="92">
        <v>88247</v>
      </c>
      <c r="D1349" s="92"/>
      <c r="E1349" s="107" t="s">
        <v>599</v>
      </c>
      <c r="F1349" s="92" t="s">
        <v>29</v>
      </c>
      <c r="G1349" s="108">
        <v>1.3231999999999999</v>
      </c>
      <c r="H1349" s="94">
        <f>H825</f>
        <v>19.100000000000001</v>
      </c>
      <c r="I1349" s="116" t="s">
        <v>1193</v>
      </c>
      <c r="J1349" s="94"/>
      <c r="K1349" s="94">
        <f>ROUND(G1349*H1349,2)</f>
        <v>25.27</v>
      </c>
      <c r="L1349" s="94"/>
      <c r="M1349" s="94"/>
      <c r="N1349" s="94"/>
      <c r="O1349" s="94"/>
      <c r="P1349" s="94"/>
      <c r="Q1349" s="94"/>
      <c r="R1349" s="25"/>
    </row>
    <row r="1350" spans="1:18" x14ac:dyDescent="0.25">
      <c r="A1350" s="133" t="s">
        <v>22</v>
      </c>
      <c r="B1350" s="89"/>
      <c r="C1350" s="89">
        <v>88264</v>
      </c>
      <c r="D1350" s="89"/>
      <c r="E1350" s="90" t="s">
        <v>594</v>
      </c>
      <c r="F1350" s="89" t="s">
        <v>29</v>
      </c>
      <c r="G1350" s="109">
        <v>1.3231999999999999</v>
      </c>
      <c r="H1350" s="91">
        <f>H826</f>
        <v>24.73</v>
      </c>
      <c r="I1350" s="117" t="s">
        <v>1193</v>
      </c>
      <c r="J1350" s="91"/>
      <c r="K1350" s="91">
        <f>ROUND(G1350*H1350,2)</f>
        <v>32.72</v>
      </c>
      <c r="L1350" s="91"/>
      <c r="M1350" s="91"/>
      <c r="N1350" s="91"/>
      <c r="O1350" s="91"/>
      <c r="P1350" s="91"/>
      <c r="Q1350" s="91"/>
      <c r="R1350" s="25"/>
    </row>
    <row r="1351" spans="1:18" ht="30" x14ac:dyDescent="0.25">
      <c r="A1351" s="134" t="s">
        <v>22</v>
      </c>
      <c r="B1351" s="92"/>
      <c r="C1351" s="92">
        <v>2378</v>
      </c>
      <c r="D1351" s="92"/>
      <c r="E1351" s="95" t="str">
        <f>E1348</f>
        <v>Disjuntor Tripolar 300 até 400A termomagnético,norma IEC ou NEMA -  tipo de curva característica: C</v>
      </c>
      <c r="F1351" s="92" t="s">
        <v>1215</v>
      </c>
      <c r="G1351" s="94">
        <v>1</v>
      </c>
      <c r="H1351" s="94">
        <v>1187.24</v>
      </c>
      <c r="I1351" s="116" t="s">
        <v>1193</v>
      </c>
      <c r="J1351" s="94">
        <f>ROUND(H1351*G1351,2)</f>
        <v>1187.24</v>
      </c>
      <c r="K1351" s="94"/>
      <c r="L1351" s="94"/>
      <c r="M1351" s="94"/>
      <c r="N1351" s="94"/>
      <c r="O1351" s="94"/>
      <c r="P1351" s="94"/>
      <c r="Q1351" s="94"/>
      <c r="R1351" s="25"/>
    </row>
    <row r="1352" spans="1:18" ht="30" x14ac:dyDescent="0.25">
      <c r="A1352" s="133" t="s">
        <v>22</v>
      </c>
      <c r="B1352" s="89"/>
      <c r="C1352" s="89">
        <v>1581</v>
      </c>
      <c r="D1352" s="89"/>
      <c r="E1352" s="100" t="s">
        <v>1075</v>
      </c>
      <c r="F1352" s="89" t="s">
        <v>1215</v>
      </c>
      <c r="G1352" s="91">
        <v>3</v>
      </c>
      <c r="H1352" s="91">
        <v>10.09</v>
      </c>
      <c r="I1352" s="117" t="s">
        <v>1193</v>
      </c>
      <c r="J1352" s="91">
        <f>ROUND(H1352*G1352,2)</f>
        <v>30.27</v>
      </c>
      <c r="K1352" s="91"/>
      <c r="L1352" s="91"/>
      <c r="M1352" s="91"/>
      <c r="N1352" s="91"/>
      <c r="O1352" s="91"/>
      <c r="P1352" s="91"/>
      <c r="Q1352" s="91"/>
      <c r="R1352" s="25"/>
    </row>
    <row r="1353" spans="1:18" x14ac:dyDescent="0.25">
      <c r="A1353" s="163"/>
      <c r="B1353" s="101"/>
      <c r="C1353" s="101"/>
      <c r="D1353" s="101"/>
      <c r="E1353" s="102"/>
      <c r="F1353" s="101"/>
      <c r="G1353" s="96"/>
      <c r="H1353" s="96"/>
      <c r="I1353" s="169" t="s">
        <v>1193</v>
      </c>
      <c r="J1353" s="96"/>
      <c r="K1353" s="96"/>
      <c r="L1353" s="96"/>
      <c r="M1353" s="96"/>
      <c r="N1353" s="96"/>
      <c r="O1353" s="96"/>
      <c r="P1353" s="96"/>
      <c r="Q1353" s="96"/>
      <c r="R1353" s="25"/>
    </row>
    <row r="1354" spans="1:18" s="25" customFormat="1" ht="30" x14ac:dyDescent="0.25">
      <c r="A1354" s="149" t="s">
        <v>22</v>
      </c>
      <c r="B1354" s="148"/>
      <c r="C1354" s="148">
        <v>101899</v>
      </c>
      <c r="D1354" s="143" t="s">
        <v>1076</v>
      </c>
      <c r="E1354" s="144" t="s">
        <v>1077</v>
      </c>
      <c r="F1354" s="143" t="s">
        <v>1215</v>
      </c>
      <c r="G1354" s="146"/>
      <c r="H1354" s="146"/>
      <c r="I1354" s="146">
        <v>1</v>
      </c>
      <c r="J1354" s="146">
        <f>SUM(J1355:J1358)</f>
        <v>1987.3799999999999</v>
      </c>
      <c r="K1354" s="146">
        <f>SUM(K1355:K1358)</f>
        <v>57.989999999999995</v>
      </c>
      <c r="L1354" s="146">
        <f>J1354+K1354</f>
        <v>2045.37</v>
      </c>
      <c r="M1354" s="146">
        <f>I1354*J1354</f>
        <v>1987.3799999999999</v>
      </c>
      <c r="N1354" s="146">
        <f>I1354*K1354</f>
        <v>57.989999999999995</v>
      </c>
      <c r="O1354" s="146">
        <f>M1354+N1354</f>
        <v>2045.37</v>
      </c>
      <c r="P1354" s="146">
        <f>O1354*$P$1</f>
        <v>524.84194200000002</v>
      </c>
      <c r="Q1354" s="146">
        <f>P1354+O1354</f>
        <v>2570.2119419999999</v>
      </c>
    </row>
    <row r="1355" spans="1:18" x14ac:dyDescent="0.25">
      <c r="A1355" s="134" t="s">
        <v>22</v>
      </c>
      <c r="B1355" s="92"/>
      <c r="C1355" s="92">
        <v>88247</v>
      </c>
      <c r="D1355" s="92"/>
      <c r="E1355" s="107" t="s">
        <v>599</v>
      </c>
      <c r="F1355" s="92" t="s">
        <v>29</v>
      </c>
      <c r="G1355" s="108">
        <v>1.3231999999999999</v>
      </c>
      <c r="H1355" s="94">
        <f>H825</f>
        <v>19.100000000000001</v>
      </c>
      <c r="I1355" s="116" t="s">
        <v>1193</v>
      </c>
      <c r="J1355" s="94"/>
      <c r="K1355" s="94">
        <f>ROUND(G1355*H1355,2)</f>
        <v>25.27</v>
      </c>
      <c r="L1355" s="94"/>
      <c r="M1355" s="94"/>
      <c r="N1355" s="94"/>
      <c r="O1355" s="94"/>
      <c r="P1355" s="94"/>
      <c r="Q1355" s="94"/>
      <c r="R1355" s="25"/>
    </row>
    <row r="1356" spans="1:18" x14ac:dyDescent="0.25">
      <c r="A1356" s="133" t="s">
        <v>22</v>
      </c>
      <c r="B1356" s="89"/>
      <c r="C1356" s="89">
        <v>88264</v>
      </c>
      <c r="D1356" s="89"/>
      <c r="E1356" s="90" t="s">
        <v>594</v>
      </c>
      <c r="F1356" s="89" t="s">
        <v>29</v>
      </c>
      <c r="G1356" s="109">
        <v>1.3231999999999999</v>
      </c>
      <c r="H1356" s="91">
        <f>H826</f>
        <v>24.73</v>
      </c>
      <c r="I1356" s="117" t="s">
        <v>1193</v>
      </c>
      <c r="J1356" s="91"/>
      <c r="K1356" s="91">
        <f>ROUND(G1356*H1356,2)</f>
        <v>32.72</v>
      </c>
      <c r="L1356" s="91"/>
      <c r="M1356" s="91"/>
      <c r="N1356" s="91"/>
      <c r="O1356" s="91"/>
      <c r="P1356" s="91"/>
      <c r="Q1356" s="91"/>
      <c r="R1356" s="25"/>
    </row>
    <row r="1357" spans="1:18" ht="30" x14ac:dyDescent="0.25">
      <c r="A1357" s="134" t="s">
        <v>22</v>
      </c>
      <c r="B1357" s="92"/>
      <c r="C1357" s="92">
        <v>2376</v>
      </c>
      <c r="D1357" s="92"/>
      <c r="E1357" s="95" t="str">
        <f>E1354</f>
        <v>Disjuntor Tripolar 600A termomagnético, Ajustável, norma IEC ou NEMA -  tipo de curva característica: C</v>
      </c>
      <c r="F1357" s="92" t="s">
        <v>39</v>
      </c>
      <c r="G1357" s="94">
        <v>1</v>
      </c>
      <c r="H1357" s="94">
        <v>1955.37</v>
      </c>
      <c r="I1357" s="116" t="s">
        <v>1193</v>
      </c>
      <c r="J1357" s="94">
        <f>ROUND(H1357*G1357,2)</f>
        <v>1955.37</v>
      </c>
      <c r="K1357" s="94"/>
      <c r="L1357" s="94"/>
      <c r="M1357" s="94"/>
      <c r="N1357" s="94"/>
      <c r="O1357" s="94"/>
      <c r="P1357" s="94"/>
      <c r="Q1357" s="94"/>
      <c r="R1357" s="25"/>
    </row>
    <row r="1358" spans="1:18" ht="30" x14ac:dyDescent="0.25">
      <c r="A1358" s="133" t="s">
        <v>22</v>
      </c>
      <c r="B1358" s="89"/>
      <c r="C1358" s="89">
        <v>1581</v>
      </c>
      <c r="D1358" s="89"/>
      <c r="E1358" s="100" t="s">
        <v>1075</v>
      </c>
      <c r="F1358" s="89" t="s">
        <v>1215</v>
      </c>
      <c r="G1358" s="91">
        <v>3</v>
      </c>
      <c r="H1358" s="91">
        <v>10.67</v>
      </c>
      <c r="I1358" s="117" t="s">
        <v>1193</v>
      </c>
      <c r="J1358" s="91">
        <f>ROUND(H1358*G1358,2)</f>
        <v>32.01</v>
      </c>
      <c r="K1358" s="91"/>
      <c r="L1358" s="91"/>
      <c r="M1358" s="91"/>
      <c r="N1358" s="91"/>
      <c r="O1358" s="91"/>
      <c r="P1358" s="91"/>
      <c r="Q1358" s="91"/>
      <c r="R1358" s="25"/>
    </row>
    <row r="1359" spans="1:18" x14ac:dyDescent="0.25">
      <c r="A1359" s="163"/>
      <c r="B1359" s="101"/>
      <c r="C1359" s="101"/>
      <c r="D1359" s="101"/>
      <c r="E1359" s="102"/>
      <c r="F1359" s="101"/>
      <c r="G1359" s="96"/>
      <c r="H1359" s="96"/>
      <c r="I1359" s="169" t="s">
        <v>1193</v>
      </c>
      <c r="J1359" s="96"/>
      <c r="K1359" s="96"/>
      <c r="L1359" s="96"/>
      <c r="M1359" s="96"/>
      <c r="N1359" s="96"/>
      <c r="O1359" s="96"/>
      <c r="P1359" s="96"/>
      <c r="Q1359" s="96"/>
      <c r="R1359" s="25"/>
    </row>
    <row r="1360" spans="1:18" s="25" customFormat="1" ht="30" x14ac:dyDescent="0.25">
      <c r="A1360" s="149" t="s">
        <v>22</v>
      </c>
      <c r="B1360" s="148"/>
      <c r="C1360" s="148">
        <v>101900</v>
      </c>
      <c r="D1360" s="143" t="s">
        <v>1078</v>
      </c>
      <c r="E1360" s="144" t="s">
        <v>1079</v>
      </c>
      <c r="F1360" s="143" t="s">
        <v>1215</v>
      </c>
      <c r="G1360" s="146"/>
      <c r="H1360" s="146"/>
      <c r="I1360" s="146">
        <v>1</v>
      </c>
      <c r="J1360" s="146">
        <f>SUM(J1361:J1364)</f>
        <v>4212.24</v>
      </c>
      <c r="K1360" s="146">
        <f>SUM(K1361:K1364)</f>
        <v>57.989999999999995</v>
      </c>
      <c r="L1360" s="146">
        <f>J1360+K1360</f>
        <v>4270.2299999999996</v>
      </c>
      <c r="M1360" s="146">
        <f>I1360*J1360</f>
        <v>4212.24</v>
      </c>
      <c r="N1360" s="146">
        <f>I1360*K1360</f>
        <v>57.989999999999995</v>
      </c>
      <c r="O1360" s="146">
        <f>M1360+N1360</f>
        <v>4270.2299999999996</v>
      </c>
      <c r="P1360" s="146">
        <f>O1360*$P$1</f>
        <v>1095.7410179999999</v>
      </c>
      <c r="Q1360" s="146">
        <f>P1360+O1360</f>
        <v>5365.9710179999993</v>
      </c>
    </row>
    <row r="1361" spans="1:18" x14ac:dyDescent="0.25">
      <c r="A1361" s="134" t="s">
        <v>22</v>
      </c>
      <c r="B1361" s="92"/>
      <c r="C1361" s="92">
        <v>88247</v>
      </c>
      <c r="D1361" s="92"/>
      <c r="E1361" s="107" t="s">
        <v>599</v>
      </c>
      <c r="F1361" s="92" t="s">
        <v>29</v>
      </c>
      <c r="G1361" s="108">
        <v>1.3231999999999999</v>
      </c>
      <c r="H1361" s="94">
        <f>H825</f>
        <v>19.100000000000001</v>
      </c>
      <c r="I1361" s="116" t="s">
        <v>1193</v>
      </c>
      <c r="J1361" s="94"/>
      <c r="K1361" s="94">
        <f>ROUND(G1361*H1361,2)</f>
        <v>25.27</v>
      </c>
      <c r="L1361" s="94"/>
      <c r="M1361" s="94"/>
      <c r="N1361" s="94"/>
      <c r="O1361" s="94"/>
      <c r="P1361" s="94"/>
      <c r="Q1361" s="94"/>
      <c r="R1361" s="25"/>
    </row>
    <row r="1362" spans="1:18" x14ac:dyDescent="0.25">
      <c r="A1362" s="133" t="s">
        <v>22</v>
      </c>
      <c r="B1362" s="89"/>
      <c r="C1362" s="89">
        <v>88264</v>
      </c>
      <c r="D1362" s="89"/>
      <c r="E1362" s="90" t="s">
        <v>594</v>
      </c>
      <c r="F1362" s="89" t="s">
        <v>29</v>
      </c>
      <c r="G1362" s="109">
        <v>1.3231999999999999</v>
      </c>
      <c r="H1362" s="91">
        <f>H826</f>
        <v>24.73</v>
      </c>
      <c r="I1362" s="117" t="s">
        <v>1193</v>
      </c>
      <c r="J1362" s="91"/>
      <c r="K1362" s="91">
        <f>ROUND(G1362*H1362,2)</f>
        <v>32.72</v>
      </c>
      <c r="L1362" s="91"/>
      <c r="M1362" s="91"/>
      <c r="N1362" s="91"/>
      <c r="O1362" s="91"/>
      <c r="P1362" s="91"/>
      <c r="Q1362" s="91"/>
      <c r="R1362" s="25"/>
    </row>
    <row r="1363" spans="1:18" ht="30" x14ac:dyDescent="0.25">
      <c r="A1363" s="134" t="s">
        <v>22</v>
      </c>
      <c r="B1363" s="92"/>
      <c r="C1363" s="92">
        <v>2394</v>
      </c>
      <c r="D1363" s="92"/>
      <c r="E1363" s="95" t="str">
        <f>E1360</f>
        <v>Disjuntor Tripolar 800A termomagnético, Ajustável, norma IEC ou NEMA -  tipo de curva característica: C</v>
      </c>
      <c r="F1363" s="92" t="s">
        <v>39</v>
      </c>
      <c r="G1363" s="94">
        <v>1</v>
      </c>
      <c r="H1363" s="94">
        <v>4180.2299999999996</v>
      </c>
      <c r="I1363" s="116" t="s">
        <v>1193</v>
      </c>
      <c r="J1363" s="94">
        <f>ROUND(H1363*G1363,2)</f>
        <v>4180.2299999999996</v>
      </c>
      <c r="K1363" s="94"/>
      <c r="L1363" s="94"/>
      <c r="M1363" s="94"/>
      <c r="N1363" s="94"/>
      <c r="O1363" s="94"/>
      <c r="P1363" s="94"/>
      <c r="Q1363" s="94"/>
      <c r="R1363" s="25"/>
    </row>
    <row r="1364" spans="1:18" ht="30" x14ac:dyDescent="0.25">
      <c r="A1364" s="133" t="s">
        <v>22</v>
      </c>
      <c r="B1364" s="89"/>
      <c r="C1364" s="89">
        <v>1581</v>
      </c>
      <c r="D1364" s="89"/>
      <c r="E1364" s="100" t="s">
        <v>1075</v>
      </c>
      <c r="F1364" s="89" t="s">
        <v>1215</v>
      </c>
      <c r="G1364" s="91">
        <v>3</v>
      </c>
      <c r="H1364" s="91">
        <v>10.67</v>
      </c>
      <c r="I1364" s="117" t="s">
        <v>1193</v>
      </c>
      <c r="J1364" s="91">
        <f>ROUND(H1364*G1364,2)</f>
        <v>32.01</v>
      </c>
      <c r="K1364" s="91"/>
      <c r="L1364" s="91"/>
      <c r="M1364" s="91"/>
      <c r="N1364" s="91"/>
      <c r="O1364" s="91"/>
      <c r="P1364" s="91"/>
      <c r="Q1364" s="91"/>
      <c r="R1364" s="25"/>
    </row>
    <row r="1365" spans="1:18" x14ac:dyDescent="0.25">
      <c r="A1365" s="163"/>
      <c r="B1365" s="101"/>
      <c r="C1365" s="101"/>
      <c r="D1365" s="101"/>
      <c r="E1365" s="102"/>
      <c r="F1365" s="101"/>
      <c r="G1365" s="96"/>
      <c r="H1365" s="96"/>
      <c r="I1365" s="169" t="s">
        <v>1193</v>
      </c>
      <c r="J1365" s="96"/>
      <c r="K1365" s="96"/>
      <c r="L1365" s="96"/>
      <c r="M1365" s="96"/>
      <c r="N1365" s="96"/>
      <c r="O1365" s="96"/>
      <c r="P1365" s="96"/>
      <c r="Q1365" s="96"/>
      <c r="R1365" s="25"/>
    </row>
    <row r="1366" spans="1:18" x14ac:dyDescent="0.25">
      <c r="A1366" s="159"/>
      <c r="B1366" s="160"/>
      <c r="C1366" s="160"/>
      <c r="D1366" s="160"/>
      <c r="E1366" s="161"/>
      <c r="F1366" s="160"/>
      <c r="G1366" s="162"/>
      <c r="H1366" s="162"/>
      <c r="I1366" s="170" t="s">
        <v>1193</v>
      </c>
      <c r="J1366" s="162"/>
      <c r="K1366" s="162"/>
      <c r="L1366" s="162"/>
      <c r="M1366" s="162"/>
      <c r="N1366" s="162"/>
      <c r="O1366" s="162"/>
      <c r="P1366" s="162"/>
      <c r="Q1366" s="162"/>
      <c r="R1366" s="25"/>
    </row>
    <row r="1367" spans="1:18" s="25" customFormat="1" ht="30" x14ac:dyDescent="0.25">
      <c r="A1367" s="149"/>
      <c r="B1367" s="148"/>
      <c r="C1367" s="148"/>
      <c r="D1367" s="143" t="s">
        <v>1080</v>
      </c>
      <c r="E1367" s="144" t="s">
        <v>1081</v>
      </c>
      <c r="F1367" s="143" t="s">
        <v>1215</v>
      </c>
      <c r="G1367" s="146"/>
      <c r="H1367" s="146"/>
      <c r="I1367" s="146">
        <v>1</v>
      </c>
      <c r="J1367" s="146">
        <f>SUM(J1368:J1370)</f>
        <v>71.239999999999995</v>
      </c>
      <c r="K1367" s="146">
        <f>SUM(K1368:K1370)</f>
        <v>8.77</v>
      </c>
      <c r="L1367" s="146">
        <f>J1367+K1367</f>
        <v>80.009999999999991</v>
      </c>
      <c r="M1367" s="146">
        <f>I1367*J1367</f>
        <v>71.239999999999995</v>
      </c>
      <c r="N1367" s="146">
        <f>I1367*K1367</f>
        <v>8.77</v>
      </c>
      <c r="O1367" s="146">
        <f>M1367+N1367</f>
        <v>80.009999999999991</v>
      </c>
      <c r="P1367" s="146">
        <f>O1367*$P$1</f>
        <v>20.530565999999997</v>
      </c>
      <c r="Q1367" s="146">
        <f>P1367+O1367</f>
        <v>100.54056599999998</v>
      </c>
    </row>
    <row r="1368" spans="1:18" x14ac:dyDescent="0.25">
      <c r="A1368" s="133" t="s">
        <v>22</v>
      </c>
      <c r="B1368" s="89"/>
      <c r="C1368" s="89">
        <v>88247</v>
      </c>
      <c r="D1368" s="89"/>
      <c r="E1368" s="105" t="s">
        <v>599</v>
      </c>
      <c r="F1368" s="89" t="s">
        <v>29</v>
      </c>
      <c r="G1368" s="91">
        <v>0.2</v>
      </c>
      <c r="H1368" s="91">
        <f>H825</f>
        <v>19.100000000000001</v>
      </c>
      <c r="I1368" s="117" t="s">
        <v>1193</v>
      </c>
      <c r="J1368" s="91"/>
      <c r="K1368" s="91">
        <f>ROUND(G1368*H1368,2)</f>
        <v>3.82</v>
      </c>
      <c r="L1368" s="91"/>
      <c r="M1368" s="91"/>
      <c r="N1368" s="91"/>
      <c r="O1368" s="91"/>
      <c r="P1368" s="91"/>
      <c r="Q1368" s="91"/>
      <c r="R1368" s="25"/>
    </row>
    <row r="1369" spans="1:18" x14ac:dyDescent="0.25">
      <c r="A1369" s="134" t="s">
        <v>22</v>
      </c>
      <c r="B1369" s="92"/>
      <c r="C1369" s="92">
        <v>88264</v>
      </c>
      <c r="D1369" s="92"/>
      <c r="E1369" s="93" t="s">
        <v>594</v>
      </c>
      <c r="F1369" s="92" t="s">
        <v>29</v>
      </c>
      <c r="G1369" s="94">
        <v>0.2</v>
      </c>
      <c r="H1369" s="94">
        <f>H826</f>
        <v>24.73</v>
      </c>
      <c r="I1369" s="116" t="s">
        <v>1193</v>
      </c>
      <c r="J1369" s="94"/>
      <c r="K1369" s="94">
        <f>ROUND(G1369*H1369,2)</f>
        <v>4.95</v>
      </c>
      <c r="L1369" s="94"/>
      <c r="M1369" s="94"/>
      <c r="N1369" s="94"/>
      <c r="O1369" s="94"/>
      <c r="P1369" s="94"/>
      <c r="Q1369" s="94"/>
      <c r="R1369" s="25"/>
    </row>
    <row r="1370" spans="1:18" ht="30" x14ac:dyDescent="0.25">
      <c r="A1370" s="133" t="s">
        <v>22</v>
      </c>
      <c r="B1370" s="89"/>
      <c r="C1370" s="89">
        <v>39466</v>
      </c>
      <c r="D1370" s="89"/>
      <c r="E1370" s="100" t="s">
        <v>1082</v>
      </c>
      <c r="F1370" s="89" t="s">
        <v>1215</v>
      </c>
      <c r="G1370" s="91">
        <v>1</v>
      </c>
      <c r="H1370" s="91">
        <v>71.239999999999995</v>
      </c>
      <c r="I1370" s="117" t="s">
        <v>1193</v>
      </c>
      <c r="J1370" s="91">
        <f>ROUND(H1370*G1370,2)</f>
        <v>71.239999999999995</v>
      </c>
      <c r="K1370" s="91"/>
      <c r="L1370" s="91"/>
      <c r="M1370" s="91"/>
      <c r="N1370" s="91"/>
      <c r="O1370" s="91"/>
      <c r="P1370" s="91"/>
      <c r="Q1370" s="91"/>
      <c r="R1370" s="25"/>
    </row>
    <row r="1371" spans="1:18" x14ac:dyDescent="0.25">
      <c r="A1371" s="163"/>
      <c r="B1371" s="101"/>
      <c r="C1371" s="101"/>
      <c r="D1371" s="101"/>
      <c r="E1371" s="102"/>
      <c r="F1371" s="101"/>
      <c r="G1371" s="96"/>
      <c r="H1371" s="96"/>
      <c r="I1371" s="169" t="s">
        <v>1193</v>
      </c>
      <c r="J1371" s="96"/>
      <c r="K1371" s="96"/>
      <c r="L1371" s="96"/>
      <c r="M1371" s="96"/>
      <c r="N1371" s="96"/>
      <c r="O1371" s="96"/>
      <c r="P1371" s="96"/>
      <c r="Q1371" s="96"/>
      <c r="R1371" s="25"/>
    </row>
    <row r="1372" spans="1:18" s="25" customFormat="1" ht="15.75" x14ac:dyDescent="0.25">
      <c r="A1372" s="136"/>
      <c r="B1372" s="97"/>
      <c r="C1372" s="97"/>
      <c r="D1372" s="97">
        <v>21</v>
      </c>
      <c r="E1372" s="98" t="s">
        <v>1083</v>
      </c>
      <c r="F1372" s="97"/>
      <c r="G1372" s="97"/>
      <c r="H1372" s="330"/>
      <c r="I1372" s="97" t="s">
        <v>1193</v>
      </c>
      <c r="J1372" s="330"/>
      <c r="K1372" s="330"/>
      <c r="L1372" s="330"/>
      <c r="M1372" s="330"/>
      <c r="N1372" s="330"/>
      <c r="O1372" s="330"/>
      <c r="P1372" s="330"/>
      <c r="Q1372" s="330">
        <f>SUM(Q1373:Q1410)</f>
        <v>2278.4168559999998</v>
      </c>
    </row>
    <row r="1373" spans="1:18" s="25" customFormat="1" x14ac:dyDescent="0.25">
      <c r="A1373" s="149"/>
      <c r="B1373" s="148"/>
      <c r="C1373" s="148"/>
      <c r="D1373" s="143" t="s">
        <v>1084</v>
      </c>
      <c r="E1373" s="144" t="s">
        <v>1085</v>
      </c>
      <c r="F1373" s="143" t="s">
        <v>1215</v>
      </c>
      <c r="G1373" s="146"/>
      <c r="H1373" s="146"/>
      <c r="I1373" s="146">
        <v>1</v>
      </c>
      <c r="J1373" s="146">
        <f>SUM(J1374:J1376)</f>
        <v>528.6</v>
      </c>
      <c r="K1373" s="146">
        <f>SUM(K1374:K1376)</f>
        <v>43.83</v>
      </c>
      <c r="L1373" s="146">
        <f>J1373+K1373</f>
        <v>572.43000000000006</v>
      </c>
      <c r="M1373" s="146">
        <f>I1373*J1373</f>
        <v>528.6</v>
      </c>
      <c r="N1373" s="146">
        <f>I1373*K1373</f>
        <v>43.83</v>
      </c>
      <c r="O1373" s="146">
        <f>M1373+N1373</f>
        <v>572.43000000000006</v>
      </c>
      <c r="P1373" s="146">
        <f>O1373*$P$1</f>
        <v>146.88553800000003</v>
      </c>
      <c r="Q1373" s="146">
        <f>P1373+O1373</f>
        <v>719.31553800000006</v>
      </c>
    </row>
    <row r="1374" spans="1:18" x14ac:dyDescent="0.25">
      <c r="A1374" s="133" t="s">
        <v>22</v>
      </c>
      <c r="B1374" s="89"/>
      <c r="C1374" s="89">
        <v>88247</v>
      </c>
      <c r="D1374" s="89"/>
      <c r="E1374" s="105" t="s">
        <v>599</v>
      </c>
      <c r="F1374" s="89" t="s">
        <v>29</v>
      </c>
      <c r="G1374" s="91">
        <v>1</v>
      </c>
      <c r="H1374" s="91">
        <f>H825</f>
        <v>19.100000000000001</v>
      </c>
      <c r="I1374" s="117" t="s">
        <v>1193</v>
      </c>
      <c r="J1374" s="91"/>
      <c r="K1374" s="91">
        <f>ROUND(G1374*H1374,2)</f>
        <v>19.100000000000001</v>
      </c>
      <c r="L1374" s="91"/>
      <c r="M1374" s="91"/>
      <c r="N1374" s="91"/>
      <c r="O1374" s="91"/>
      <c r="P1374" s="91"/>
      <c r="Q1374" s="91"/>
      <c r="R1374" s="25"/>
    </row>
    <row r="1375" spans="1:18" x14ac:dyDescent="0.25">
      <c r="A1375" s="134" t="s">
        <v>22</v>
      </c>
      <c r="B1375" s="92"/>
      <c r="C1375" s="92">
        <v>88264</v>
      </c>
      <c r="D1375" s="92"/>
      <c r="E1375" s="93" t="s">
        <v>594</v>
      </c>
      <c r="F1375" s="92" t="s">
        <v>29</v>
      </c>
      <c r="G1375" s="94">
        <v>1</v>
      </c>
      <c r="H1375" s="94">
        <f>H826</f>
        <v>24.73</v>
      </c>
      <c r="I1375" s="116" t="s">
        <v>1193</v>
      </c>
      <c r="J1375" s="94"/>
      <c r="K1375" s="94">
        <f>ROUND(G1375*H1375,2)</f>
        <v>24.73</v>
      </c>
      <c r="L1375" s="94"/>
      <c r="M1375" s="94"/>
      <c r="N1375" s="94"/>
      <c r="O1375" s="94"/>
      <c r="P1375" s="94"/>
      <c r="Q1375" s="94"/>
      <c r="R1375" s="25"/>
    </row>
    <row r="1376" spans="1:18" x14ac:dyDescent="0.25">
      <c r="A1376" s="252" t="s">
        <v>877</v>
      </c>
      <c r="B1376" s="89"/>
      <c r="C1376" s="89"/>
      <c r="D1376" s="89"/>
      <c r="E1376" s="100" t="str">
        <f>E1373</f>
        <v>Chave comutadora semitrans- 3 posições, 1-0-2 , capacidade 100A, tres polos.</v>
      </c>
      <c r="F1376" s="89" t="s">
        <v>1215</v>
      </c>
      <c r="G1376" s="91">
        <v>1</v>
      </c>
      <c r="H1376" s="342">
        <f>'MAPA COTAÇÕES ELÉTRICA'!L24</f>
        <v>528.6</v>
      </c>
      <c r="I1376" s="253" t="s">
        <v>1193</v>
      </c>
      <c r="J1376" s="193">
        <f>ROUND(H1376*G1376,2)</f>
        <v>528.6</v>
      </c>
      <c r="K1376" s="193"/>
      <c r="L1376" s="193"/>
      <c r="M1376" s="193"/>
      <c r="N1376" s="193"/>
      <c r="O1376" s="193"/>
      <c r="P1376" s="193"/>
      <c r="Q1376" s="193"/>
      <c r="R1376" s="25"/>
    </row>
    <row r="1377" spans="1:18" x14ac:dyDescent="0.25">
      <c r="A1377" s="163"/>
      <c r="B1377" s="101"/>
      <c r="C1377" s="101"/>
      <c r="D1377" s="101"/>
      <c r="E1377" s="102"/>
      <c r="F1377" s="101"/>
      <c r="G1377" s="96"/>
      <c r="H1377" s="96"/>
      <c r="I1377" s="169" t="s">
        <v>1193</v>
      </c>
      <c r="J1377" s="96"/>
      <c r="K1377" s="96"/>
      <c r="L1377" s="96"/>
      <c r="M1377" s="96"/>
      <c r="N1377" s="96"/>
      <c r="O1377" s="96"/>
      <c r="P1377" s="96"/>
      <c r="Q1377" s="96"/>
      <c r="R1377" s="25"/>
    </row>
    <row r="1378" spans="1:18" x14ac:dyDescent="0.25">
      <c r="A1378" s="159"/>
      <c r="B1378" s="160"/>
      <c r="C1378" s="160"/>
      <c r="D1378" s="160"/>
      <c r="E1378" s="161"/>
      <c r="F1378" s="160"/>
      <c r="G1378" s="162"/>
      <c r="H1378" s="162"/>
      <c r="I1378" s="170" t="s">
        <v>1193</v>
      </c>
      <c r="J1378" s="162"/>
      <c r="K1378" s="162"/>
      <c r="L1378" s="162"/>
      <c r="M1378" s="162"/>
      <c r="N1378" s="162"/>
      <c r="O1378" s="162"/>
      <c r="P1378" s="162"/>
      <c r="Q1378" s="162"/>
      <c r="R1378" s="25"/>
    </row>
    <row r="1379" spans="1:18" s="25" customFormat="1" x14ac:dyDescent="0.25">
      <c r="A1379" s="149"/>
      <c r="B1379" s="148"/>
      <c r="C1379" s="148"/>
      <c r="D1379" s="143" t="s">
        <v>1086</v>
      </c>
      <c r="E1379" s="144" t="s">
        <v>1087</v>
      </c>
      <c r="F1379" s="143" t="s">
        <v>1215</v>
      </c>
      <c r="G1379" s="146"/>
      <c r="H1379" s="146"/>
      <c r="I1379" s="146">
        <v>1</v>
      </c>
      <c r="J1379" s="146">
        <f>SUM(J1380:J1383)</f>
        <v>56.69</v>
      </c>
      <c r="K1379" s="146">
        <f>SUM(K1380:K1383)</f>
        <v>8.7199999999999989</v>
      </c>
      <c r="L1379" s="146">
        <f>J1379+K1379</f>
        <v>65.41</v>
      </c>
      <c r="M1379" s="146">
        <f>I1379*J1379</f>
        <v>56.69</v>
      </c>
      <c r="N1379" s="146">
        <f>I1379*K1379</f>
        <v>8.7199999999999989</v>
      </c>
      <c r="O1379" s="146">
        <f>M1379+N1379</f>
        <v>65.41</v>
      </c>
      <c r="P1379" s="146">
        <f>O1379*$P$1</f>
        <v>16.784205999999998</v>
      </c>
      <c r="Q1379" s="146">
        <f>P1379+O1379</f>
        <v>82.194205999999994</v>
      </c>
    </row>
    <row r="1380" spans="1:18" x14ac:dyDescent="0.25">
      <c r="A1380" s="133" t="s">
        <v>22</v>
      </c>
      <c r="B1380" s="89"/>
      <c r="C1380" s="89">
        <v>88247</v>
      </c>
      <c r="D1380" s="89"/>
      <c r="E1380" s="105" t="s">
        <v>599</v>
      </c>
      <c r="F1380" s="89" t="s">
        <v>29</v>
      </c>
      <c r="G1380" s="109">
        <v>0.1988</v>
      </c>
      <c r="H1380" s="91">
        <f>H825</f>
        <v>19.100000000000001</v>
      </c>
      <c r="I1380" s="117" t="s">
        <v>1193</v>
      </c>
      <c r="J1380" s="91"/>
      <c r="K1380" s="91">
        <f>ROUND(G1380*H1380,2)</f>
        <v>3.8</v>
      </c>
      <c r="L1380" s="91"/>
      <c r="M1380" s="91"/>
      <c r="N1380" s="91"/>
      <c r="O1380" s="91"/>
      <c r="P1380" s="91"/>
      <c r="Q1380" s="91"/>
      <c r="R1380" s="25"/>
    </row>
    <row r="1381" spans="1:18" x14ac:dyDescent="0.25">
      <c r="A1381" s="134" t="s">
        <v>22</v>
      </c>
      <c r="B1381" s="92"/>
      <c r="C1381" s="92">
        <v>88264</v>
      </c>
      <c r="D1381" s="92"/>
      <c r="E1381" s="93" t="s">
        <v>594</v>
      </c>
      <c r="F1381" s="92" t="s">
        <v>29</v>
      </c>
      <c r="G1381" s="108">
        <v>0.1988</v>
      </c>
      <c r="H1381" s="94">
        <f>H826</f>
        <v>24.73</v>
      </c>
      <c r="I1381" s="116" t="s">
        <v>1193</v>
      </c>
      <c r="J1381" s="94"/>
      <c r="K1381" s="94">
        <f>ROUND(G1381*H1381,2)</f>
        <v>4.92</v>
      </c>
      <c r="L1381" s="94"/>
      <c r="M1381" s="94"/>
      <c r="N1381" s="94"/>
      <c r="O1381" s="94"/>
      <c r="P1381" s="94"/>
      <c r="Q1381" s="94"/>
      <c r="R1381" s="25"/>
    </row>
    <row r="1382" spans="1:18" x14ac:dyDescent="0.25">
      <c r="A1382" s="252" t="s">
        <v>877</v>
      </c>
      <c r="B1382" s="89"/>
      <c r="C1382" s="89"/>
      <c r="D1382" s="89"/>
      <c r="E1382" s="90" t="str">
        <f>E1379</f>
        <v>Contator tripolar corrente nominal 7A (AC-3), 220 VAC</v>
      </c>
      <c r="F1382" s="89" t="s">
        <v>1215</v>
      </c>
      <c r="G1382" s="91">
        <v>1</v>
      </c>
      <c r="H1382" s="342">
        <f>'MAPA COTAÇÕES ELÉTRICA'!L25</f>
        <v>53.300000000000004</v>
      </c>
      <c r="I1382" s="253" t="s">
        <v>1193</v>
      </c>
      <c r="J1382" s="193">
        <f>ROUND(H1382*G1382,2)</f>
        <v>53.3</v>
      </c>
      <c r="K1382" s="193"/>
      <c r="L1382" s="193"/>
      <c r="M1382" s="193"/>
      <c r="N1382" s="193"/>
      <c r="O1382" s="193"/>
      <c r="P1382" s="193"/>
      <c r="Q1382" s="193"/>
      <c r="R1382" s="25"/>
    </row>
    <row r="1383" spans="1:18" ht="30" x14ac:dyDescent="0.25">
      <c r="A1383" s="134" t="s">
        <v>22</v>
      </c>
      <c r="B1383" s="92"/>
      <c r="C1383" s="92">
        <v>1571</v>
      </c>
      <c r="D1383" s="92"/>
      <c r="E1383" s="95" t="s">
        <v>1088</v>
      </c>
      <c r="F1383" s="92" t="s">
        <v>1215</v>
      </c>
      <c r="G1383" s="94">
        <v>3</v>
      </c>
      <c r="H1383" s="94">
        <v>1.1299999999999999</v>
      </c>
      <c r="I1383" s="116" t="s">
        <v>1193</v>
      </c>
      <c r="J1383" s="94">
        <f>ROUND(H1383*G1383,2)</f>
        <v>3.39</v>
      </c>
      <c r="K1383" s="94"/>
      <c r="L1383" s="94"/>
      <c r="M1383" s="94"/>
      <c r="N1383" s="94"/>
      <c r="O1383" s="94"/>
      <c r="P1383" s="94"/>
      <c r="Q1383" s="94"/>
      <c r="R1383" s="25"/>
    </row>
    <row r="1384" spans="1:18" x14ac:dyDescent="0.25">
      <c r="A1384" s="159"/>
      <c r="B1384" s="160"/>
      <c r="C1384" s="160"/>
      <c r="D1384" s="160"/>
      <c r="E1384" s="161"/>
      <c r="F1384" s="160"/>
      <c r="G1384" s="162"/>
      <c r="H1384" s="162"/>
      <c r="I1384" s="170" t="s">
        <v>1193</v>
      </c>
      <c r="J1384" s="162"/>
      <c r="K1384" s="162"/>
      <c r="L1384" s="162"/>
      <c r="M1384" s="162"/>
      <c r="N1384" s="162"/>
      <c r="O1384" s="162"/>
      <c r="P1384" s="162"/>
      <c r="Q1384" s="162"/>
      <c r="R1384" s="25"/>
    </row>
    <row r="1385" spans="1:18" s="25" customFormat="1" x14ac:dyDescent="0.25">
      <c r="A1385" s="149" t="s">
        <v>22</v>
      </c>
      <c r="B1385" s="148"/>
      <c r="C1385" s="148">
        <v>101902</v>
      </c>
      <c r="D1385" s="143" t="s">
        <v>1089</v>
      </c>
      <c r="E1385" s="144" t="s">
        <v>1090</v>
      </c>
      <c r="F1385" s="143" t="s">
        <v>1215</v>
      </c>
      <c r="G1385" s="146"/>
      <c r="H1385" s="146"/>
      <c r="I1385" s="146">
        <v>1</v>
      </c>
      <c r="J1385" s="146">
        <f>SUM(J1386:J1389)</f>
        <v>283.81</v>
      </c>
      <c r="K1385" s="146">
        <f>SUM(K1386:K1389)</f>
        <v>8.7199999999999989</v>
      </c>
      <c r="L1385" s="146">
        <f>J1385+K1385</f>
        <v>292.52999999999997</v>
      </c>
      <c r="M1385" s="146">
        <f>I1385*J1385</f>
        <v>283.81</v>
      </c>
      <c r="N1385" s="146">
        <f>I1385*K1385</f>
        <v>8.7199999999999989</v>
      </c>
      <c r="O1385" s="146">
        <f>M1385+N1385</f>
        <v>292.52999999999997</v>
      </c>
      <c r="P1385" s="146">
        <f>O1385*$P$1</f>
        <v>75.063197999999986</v>
      </c>
      <c r="Q1385" s="146">
        <f>P1385+O1385</f>
        <v>367.59319799999997</v>
      </c>
    </row>
    <row r="1386" spans="1:18" x14ac:dyDescent="0.25">
      <c r="A1386" s="133" t="s">
        <v>22</v>
      </c>
      <c r="B1386" s="89"/>
      <c r="C1386" s="89">
        <v>88247</v>
      </c>
      <c r="D1386" s="89"/>
      <c r="E1386" s="105" t="s">
        <v>599</v>
      </c>
      <c r="F1386" s="89" t="s">
        <v>29</v>
      </c>
      <c r="G1386" s="109">
        <v>0.1988</v>
      </c>
      <c r="H1386" s="91">
        <f>H825</f>
        <v>19.100000000000001</v>
      </c>
      <c r="I1386" s="117" t="s">
        <v>1193</v>
      </c>
      <c r="J1386" s="91"/>
      <c r="K1386" s="91">
        <f>ROUND(G1386*H1386,2)</f>
        <v>3.8</v>
      </c>
      <c r="L1386" s="91"/>
      <c r="M1386" s="91"/>
      <c r="N1386" s="91"/>
      <c r="O1386" s="91"/>
      <c r="P1386" s="91"/>
      <c r="Q1386" s="91"/>
      <c r="R1386" s="25"/>
    </row>
    <row r="1387" spans="1:18" x14ac:dyDescent="0.25">
      <c r="A1387" s="134" t="s">
        <v>22</v>
      </c>
      <c r="B1387" s="92"/>
      <c r="C1387" s="92">
        <v>88264</v>
      </c>
      <c r="D1387" s="92"/>
      <c r="E1387" s="93" t="s">
        <v>594</v>
      </c>
      <c r="F1387" s="92" t="s">
        <v>29</v>
      </c>
      <c r="G1387" s="108">
        <v>0.1988</v>
      </c>
      <c r="H1387" s="94">
        <f>H826</f>
        <v>24.73</v>
      </c>
      <c r="I1387" s="116" t="s">
        <v>1193</v>
      </c>
      <c r="J1387" s="94"/>
      <c r="K1387" s="94">
        <f>ROUND(G1387*H1387,2)</f>
        <v>4.92</v>
      </c>
      <c r="L1387" s="94"/>
      <c r="M1387" s="94"/>
      <c r="N1387" s="94"/>
      <c r="O1387" s="94"/>
      <c r="P1387" s="94"/>
      <c r="Q1387" s="94"/>
      <c r="R1387" s="25"/>
    </row>
    <row r="1388" spans="1:18" x14ac:dyDescent="0.25">
      <c r="A1388" s="134" t="s">
        <v>22</v>
      </c>
      <c r="B1388" s="92"/>
      <c r="C1388" s="92">
        <v>1625</v>
      </c>
      <c r="D1388" s="92"/>
      <c r="E1388" s="93" t="str">
        <f>E1385</f>
        <v>Contator tripolar, corrente de 22A, tensão nominal de 500 v, categoria AC-2 e AC-3</v>
      </c>
      <c r="F1388" s="92" t="s">
        <v>1215</v>
      </c>
      <c r="G1388" s="108">
        <v>1</v>
      </c>
      <c r="H1388" s="94">
        <v>280.42</v>
      </c>
      <c r="I1388" s="116" t="s">
        <v>1193</v>
      </c>
      <c r="J1388" s="94">
        <f>ROUND(H1388*G1388,2)</f>
        <v>280.42</v>
      </c>
      <c r="K1388" s="94"/>
      <c r="L1388" s="94"/>
      <c r="M1388" s="94"/>
      <c r="N1388" s="94"/>
      <c r="O1388" s="94"/>
      <c r="P1388" s="94"/>
      <c r="Q1388" s="94"/>
      <c r="R1388" s="25"/>
    </row>
    <row r="1389" spans="1:18" ht="30" x14ac:dyDescent="0.25">
      <c r="A1389" s="134" t="s">
        <v>22</v>
      </c>
      <c r="B1389" s="92"/>
      <c r="C1389" s="92">
        <v>1571</v>
      </c>
      <c r="D1389" s="92"/>
      <c r="E1389" s="95" t="s">
        <v>1088</v>
      </c>
      <c r="F1389" s="92" t="s">
        <v>1215</v>
      </c>
      <c r="G1389" s="94">
        <v>3</v>
      </c>
      <c r="H1389" s="94">
        <v>1.1299999999999999</v>
      </c>
      <c r="I1389" s="116" t="s">
        <v>1193</v>
      </c>
      <c r="J1389" s="94">
        <f>ROUND(H1389*G1389,2)</f>
        <v>3.39</v>
      </c>
      <c r="K1389" s="94"/>
      <c r="L1389" s="94"/>
      <c r="M1389" s="94"/>
      <c r="N1389" s="94"/>
      <c r="O1389" s="94"/>
      <c r="P1389" s="94"/>
      <c r="Q1389" s="94"/>
      <c r="R1389" s="25"/>
    </row>
    <row r="1390" spans="1:18" x14ac:dyDescent="0.25">
      <c r="A1390" s="159"/>
      <c r="B1390" s="160"/>
      <c r="C1390" s="160"/>
      <c r="D1390" s="160"/>
      <c r="E1390" s="161"/>
      <c r="F1390" s="160"/>
      <c r="G1390" s="162"/>
      <c r="H1390" s="162"/>
      <c r="I1390" s="170" t="s">
        <v>1193</v>
      </c>
      <c r="J1390" s="162"/>
      <c r="K1390" s="162"/>
      <c r="L1390" s="162"/>
      <c r="M1390" s="162"/>
      <c r="N1390" s="162"/>
      <c r="O1390" s="162"/>
      <c r="P1390" s="162"/>
      <c r="Q1390" s="162"/>
      <c r="R1390" s="25"/>
    </row>
    <row r="1391" spans="1:18" s="25" customFormat="1" x14ac:dyDescent="0.25">
      <c r="A1391" s="149"/>
      <c r="B1391" s="148"/>
      <c r="C1391" s="148"/>
      <c r="D1391" s="143" t="s">
        <v>1091</v>
      </c>
      <c r="E1391" s="144" t="s">
        <v>1092</v>
      </c>
      <c r="F1391" s="143" t="s">
        <v>1215</v>
      </c>
      <c r="G1391" s="146"/>
      <c r="H1391" s="146"/>
      <c r="I1391" s="146">
        <v>1</v>
      </c>
      <c r="J1391" s="146">
        <f>SUM(J1392:J1394)</f>
        <v>118.51</v>
      </c>
      <c r="K1391" s="146">
        <f>SUM(K1392:K1394)</f>
        <v>65.31</v>
      </c>
      <c r="L1391" s="146">
        <f>J1391+K1391</f>
        <v>183.82</v>
      </c>
      <c r="M1391" s="146">
        <f>I1391*J1391</f>
        <v>118.51</v>
      </c>
      <c r="N1391" s="146">
        <f>I1391*K1391</f>
        <v>65.31</v>
      </c>
      <c r="O1391" s="146">
        <f>M1391+N1391</f>
        <v>183.82</v>
      </c>
      <c r="P1391" s="146">
        <f>O1391*$P$1</f>
        <v>47.168211999999997</v>
      </c>
      <c r="Q1391" s="146">
        <f>P1391+O1391</f>
        <v>230.98821199999998</v>
      </c>
    </row>
    <row r="1392" spans="1:18" x14ac:dyDescent="0.25">
      <c r="A1392" s="133" t="s">
        <v>22</v>
      </c>
      <c r="B1392" s="89"/>
      <c r="C1392" s="89">
        <v>88247</v>
      </c>
      <c r="D1392" s="89"/>
      <c r="E1392" s="105" t="s">
        <v>599</v>
      </c>
      <c r="F1392" s="89" t="s">
        <v>29</v>
      </c>
      <c r="G1392" s="91">
        <v>1.49</v>
      </c>
      <c r="H1392" s="91">
        <f>H825</f>
        <v>19.100000000000001</v>
      </c>
      <c r="I1392" s="117" t="s">
        <v>1193</v>
      </c>
      <c r="J1392" s="91"/>
      <c r="K1392" s="91">
        <f>ROUND(G1392*H1392,2)</f>
        <v>28.46</v>
      </c>
      <c r="L1392" s="91"/>
      <c r="M1392" s="91"/>
      <c r="N1392" s="91"/>
      <c r="O1392" s="91"/>
      <c r="P1392" s="91"/>
      <c r="Q1392" s="91"/>
      <c r="R1392" s="25"/>
    </row>
    <row r="1393" spans="1:18" x14ac:dyDescent="0.25">
      <c r="A1393" s="134" t="s">
        <v>22</v>
      </c>
      <c r="B1393" s="92"/>
      <c r="C1393" s="92">
        <v>88264</v>
      </c>
      <c r="D1393" s="92"/>
      <c r="E1393" s="93" t="s">
        <v>594</v>
      </c>
      <c r="F1393" s="92" t="s">
        <v>29</v>
      </c>
      <c r="G1393" s="94">
        <v>1.49</v>
      </c>
      <c r="H1393" s="94">
        <f>H826</f>
        <v>24.73</v>
      </c>
      <c r="I1393" s="116" t="s">
        <v>1193</v>
      </c>
      <c r="J1393" s="94"/>
      <c r="K1393" s="94">
        <f>ROUND(G1393*H1393,2)</f>
        <v>36.85</v>
      </c>
      <c r="L1393" s="94"/>
      <c r="M1393" s="94"/>
      <c r="N1393" s="94"/>
      <c r="O1393" s="94"/>
      <c r="P1393" s="94"/>
      <c r="Q1393" s="94"/>
      <c r="R1393" s="25"/>
    </row>
    <row r="1394" spans="1:18" x14ac:dyDescent="0.25">
      <c r="A1394" s="252" t="s">
        <v>877</v>
      </c>
      <c r="B1394" s="89"/>
      <c r="C1394" s="89"/>
      <c r="D1394" s="89"/>
      <c r="E1394" s="90" t="str">
        <f>E1391</f>
        <v>Relé de falta e sequencia de fase trifásico 220 V</v>
      </c>
      <c r="F1394" s="89" t="s">
        <v>1215</v>
      </c>
      <c r="G1394" s="91">
        <v>1</v>
      </c>
      <c r="H1394" s="342">
        <f>'MAPA COTAÇÕES ELÉTRICA'!L26</f>
        <v>118.51333333333334</v>
      </c>
      <c r="I1394" s="253" t="s">
        <v>1193</v>
      </c>
      <c r="J1394" s="193">
        <f>ROUND(H1394*G1394,2)</f>
        <v>118.51</v>
      </c>
      <c r="K1394" s="193"/>
      <c r="L1394" s="193"/>
      <c r="M1394" s="193"/>
      <c r="N1394" s="193"/>
      <c r="O1394" s="193"/>
      <c r="P1394" s="193"/>
      <c r="Q1394" s="193"/>
      <c r="R1394" s="25"/>
    </row>
    <row r="1395" spans="1:18" x14ac:dyDescent="0.25">
      <c r="A1395" s="163"/>
      <c r="B1395" s="101"/>
      <c r="C1395" s="101"/>
      <c r="D1395" s="101"/>
      <c r="E1395" s="102"/>
      <c r="F1395" s="101"/>
      <c r="G1395" s="96"/>
      <c r="H1395" s="96"/>
      <c r="I1395" s="169" t="s">
        <v>1193</v>
      </c>
      <c r="J1395" s="96"/>
      <c r="K1395" s="96"/>
      <c r="L1395" s="96"/>
      <c r="M1395" s="96"/>
      <c r="N1395" s="96"/>
      <c r="O1395" s="96"/>
      <c r="P1395" s="96"/>
      <c r="Q1395" s="96"/>
      <c r="R1395" s="25"/>
    </row>
    <row r="1396" spans="1:18" s="25" customFormat="1" x14ac:dyDescent="0.25">
      <c r="A1396" s="149"/>
      <c r="B1396" s="148"/>
      <c r="C1396" s="148"/>
      <c r="D1396" s="143" t="s">
        <v>1093</v>
      </c>
      <c r="E1396" s="144" t="s">
        <v>1094</v>
      </c>
      <c r="F1396" s="143" t="s">
        <v>1215</v>
      </c>
      <c r="G1396" s="146"/>
      <c r="H1396" s="146"/>
      <c r="I1396" s="146">
        <v>1</v>
      </c>
      <c r="J1396" s="146">
        <f>SUM(J1397:J1399)</f>
        <v>105.65</v>
      </c>
      <c r="K1396" s="146">
        <f>SUM(K1397:K1399)</f>
        <v>94.240000000000009</v>
      </c>
      <c r="L1396" s="146">
        <f>J1396+K1396</f>
        <v>199.89000000000001</v>
      </c>
      <c r="M1396" s="146">
        <f>I1396*J1396</f>
        <v>105.65</v>
      </c>
      <c r="N1396" s="146">
        <f>I1396*K1396</f>
        <v>94.240000000000009</v>
      </c>
      <c r="O1396" s="146">
        <f>M1396+N1396</f>
        <v>199.89000000000001</v>
      </c>
      <c r="P1396" s="146">
        <f>O1396*$P$1</f>
        <v>51.291774000000004</v>
      </c>
      <c r="Q1396" s="146">
        <f>P1396+O1396</f>
        <v>251.18177400000002</v>
      </c>
    </row>
    <row r="1397" spans="1:18" x14ac:dyDescent="0.25">
      <c r="A1397" s="134" t="s">
        <v>22</v>
      </c>
      <c r="B1397" s="92"/>
      <c r="C1397" s="92">
        <v>88247</v>
      </c>
      <c r="D1397" s="92"/>
      <c r="E1397" s="107" t="s">
        <v>599</v>
      </c>
      <c r="F1397" s="92" t="s">
        <v>29</v>
      </c>
      <c r="G1397" s="94">
        <v>2.15</v>
      </c>
      <c r="H1397" s="94">
        <f>H825</f>
        <v>19.100000000000001</v>
      </c>
      <c r="I1397" s="116" t="s">
        <v>1193</v>
      </c>
      <c r="J1397" s="94"/>
      <c r="K1397" s="94">
        <f>ROUND(G1397*H1397,2)</f>
        <v>41.07</v>
      </c>
      <c r="L1397" s="94"/>
      <c r="M1397" s="94"/>
      <c r="N1397" s="94"/>
      <c r="O1397" s="94"/>
      <c r="P1397" s="94"/>
      <c r="Q1397" s="94"/>
      <c r="R1397" s="25"/>
    </row>
    <row r="1398" spans="1:18" x14ac:dyDescent="0.25">
      <c r="A1398" s="133" t="s">
        <v>22</v>
      </c>
      <c r="B1398" s="89"/>
      <c r="C1398" s="89">
        <v>88264</v>
      </c>
      <c r="D1398" s="89"/>
      <c r="E1398" s="90" t="s">
        <v>594</v>
      </c>
      <c r="F1398" s="89" t="s">
        <v>29</v>
      </c>
      <c r="G1398" s="91">
        <v>2.15</v>
      </c>
      <c r="H1398" s="91">
        <f>H826</f>
        <v>24.73</v>
      </c>
      <c r="I1398" s="117" t="s">
        <v>1193</v>
      </c>
      <c r="J1398" s="91"/>
      <c r="K1398" s="91">
        <f>ROUND(G1398*H1398,2)</f>
        <v>53.17</v>
      </c>
      <c r="L1398" s="91"/>
      <c r="M1398" s="91"/>
      <c r="N1398" s="91"/>
      <c r="O1398" s="91"/>
      <c r="P1398" s="91"/>
      <c r="Q1398" s="91"/>
      <c r="R1398" s="25"/>
    </row>
    <row r="1399" spans="1:18" x14ac:dyDescent="0.25">
      <c r="A1399" s="252" t="s">
        <v>877</v>
      </c>
      <c r="B1399" s="89"/>
      <c r="C1399" s="89"/>
      <c r="D1399" s="89"/>
      <c r="E1399" s="100" t="str">
        <f>E1396</f>
        <v>Relé cíclico regulável. Em tempo iguais, ajuste de 3 a 30 minutos</v>
      </c>
      <c r="F1399" s="89" t="s">
        <v>1215</v>
      </c>
      <c r="G1399" s="91">
        <v>1</v>
      </c>
      <c r="H1399" s="342">
        <f>'MAPA COTAÇÕES ELÉTRICA'!L27</f>
        <v>105.65</v>
      </c>
      <c r="I1399" s="253" t="s">
        <v>1193</v>
      </c>
      <c r="J1399" s="193">
        <f>ROUND(H1399*G1399,2)</f>
        <v>105.65</v>
      </c>
      <c r="K1399" s="193"/>
      <c r="L1399" s="193"/>
      <c r="M1399" s="193"/>
      <c r="N1399" s="193"/>
      <c r="O1399" s="193"/>
      <c r="P1399" s="193"/>
      <c r="Q1399" s="193"/>
      <c r="R1399" s="25"/>
    </row>
    <row r="1400" spans="1:18" x14ac:dyDescent="0.25">
      <c r="A1400" s="159"/>
      <c r="B1400" s="160"/>
      <c r="C1400" s="160"/>
      <c r="D1400" s="160"/>
      <c r="E1400" s="161"/>
      <c r="F1400" s="160"/>
      <c r="G1400" s="162"/>
      <c r="H1400" s="162"/>
      <c r="I1400" s="170" t="s">
        <v>1193</v>
      </c>
      <c r="J1400" s="162"/>
      <c r="K1400" s="162"/>
      <c r="L1400" s="162"/>
      <c r="M1400" s="162"/>
      <c r="N1400" s="162"/>
      <c r="O1400" s="162"/>
      <c r="P1400" s="162"/>
      <c r="Q1400" s="162"/>
      <c r="R1400" s="25"/>
    </row>
    <row r="1401" spans="1:18" s="25" customFormat="1" ht="45" x14ac:dyDescent="0.25">
      <c r="A1401" s="149"/>
      <c r="B1401" s="148"/>
      <c r="C1401" s="148"/>
      <c r="D1401" s="143" t="s">
        <v>1095</v>
      </c>
      <c r="E1401" s="144" t="s">
        <v>1096</v>
      </c>
      <c r="F1401" s="143" t="s">
        <v>1215</v>
      </c>
      <c r="G1401" s="146"/>
      <c r="H1401" s="146"/>
      <c r="I1401" s="146">
        <v>1</v>
      </c>
      <c r="J1401" s="146">
        <f>SUM(J1402:J1404)</f>
        <v>108.5</v>
      </c>
      <c r="K1401" s="146">
        <f>SUM(K1402:K1404)</f>
        <v>78.89</v>
      </c>
      <c r="L1401" s="146">
        <f>J1401+K1401</f>
        <v>187.39</v>
      </c>
      <c r="M1401" s="146">
        <f>I1401*J1401</f>
        <v>108.5</v>
      </c>
      <c r="N1401" s="146">
        <f>I1401*K1401</f>
        <v>78.89</v>
      </c>
      <c r="O1401" s="146">
        <f>M1401+N1401</f>
        <v>187.39</v>
      </c>
      <c r="P1401" s="146">
        <f>O1401*$P$1</f>
        <v>48.084273999999994</v>
      </c>
      <c r="Q1401" s="146">
        <f>P1401+O1401</f>
        <v>235.47427399999998</v>
      </c>
    </row>
    <row r="1402" spans="1:18" x14ac:dyDescent="0.25">
      <c r="A1402" s="133" t="s">
        <v>22</v>
      </c>
      <c r="B1402" s="89"/>
      <c r="C1402" s="89">
        <v>88247</v>
      </c>
      <c r="D1402" s="89"/>
      <c r="E1402" s="105" t="s">
        <v>599</v>
      </c>
      <c r="F1402" s="89" t="s">
        <v>29</v>
      </c>
      <c r="G1402" s="91">
        <v>1.8</v>
      </c>
      <c r="H1402" s="91">
        <f>H825</f>
        <v>19.100000000000001</v>
      </c>
      <c r="I1402" s="117" t="s">
        <v>1193</v>
      </c>
      <c r="J1402" s="91"/>
      <c r="K1402" s="91">
        <f>ROUND(G1402*H1402,2)</f>
        <v>34.380000000000003</v>
      </c>
      <c r="L1402" s="91"/>
      <c r="M1402" s="91"/>
      <c r="N1402" s="91"/>
      <c r="O1402" s="91"/>
      <c r="P1402" s="91"/>
      <c r="Q1402" s="91"/>
      <c r="R1402" s="25"/>
    </row>
    <row r="1403" spans="1:18" x14ac:dyDescent="0.25">
      <c r="A1403" s="134" t="s">
        <v>22</v>
      </c>
      <c r="B1403" s="92"/>
      <c r="C1403" s="92">
        <v>88264</v>
      </c>
      <c r="D1403" s="92"/>
      <c r="E1403" s="93" t="s">
        <v>594</v>
      </c>
      <c r="F1403" s="92" t="s">
        <v>29</v>
      </c>
      <c r="G1403" s="94">
        <v>1.8</v>
      </c>
      <c r="H1403" s="94">
        <f>H826</f>
        <v>24.73</v>
      </c>
      <c r="I1403" s="116" t="s">
        <v>1193</v>
      </c>
      <c r="J1403" s="94"/>
      <c r="K1403" s="94">
        <f>ROUND(G1403*H1403,2)</f>
        <v>44.51</v>
      </c>
      <c r="L1403" s="94"/>
      <c r="M1403" s="94"/>
      <c r="N1403" s="94"/>
      <c r="O1403" s="94"/>
      <c r="P1403" s="94"/>
      <c r="Q1403" s="94"/>
      <c r="R1403" s="25"/>
    </row>
    <row r="1404" spans="1:18" ht="45" x14ac:dyDescent="0.25">
      <c r="A1404" s="252" t="s">
        <v>877</v>
      </c>
      <c r="B1404" s="89"/>
      <c r="C1404" s="89"/>
      <c r="D1404" s="89"/>
      <c r="E1404" s="100" t="str">
        <f>E1401</f>
        <v>Temporizador Digital horário, mínimo 10 programas,display LCD, programa diário,semanal, final de semana, bateria recarregável, 100-240V, acionamento manual, fixação em trilho dim</v>
      </c>
      <c r="F1404" s="89" t="s">
        <v>1215</v>
      </c>
      <c r="G1404" s="91">
        <v>1</v>
      </c>
      <c r="H1404" s="342">
        <f>'MAPA COTAÇÕES ELÉTRICA'!L28</f>
        <v>108.5</v>
      </c>
      <c r="I1404" s="253" t="s">
        <v>1193</v>
      </c>
      <c r="J1404" s="193">
        <f>ROUND(H1404*G1404,2)</f>
        <v>108.5</v>
      </c>
      <c r="K1404" s="193"/>
      <c r="L1404" s="193"/>
      <c r="M1404" s="193"/>
      <c r="N1404" s="193"/>
      <c r="O1404" s="193"/>
      <c r="P1404" s="193"/>
      <c r="Q1404" s="193"/>
      <c r="R1404" s="25"/>
    </row>
    <row r="1405" spans="1:18" x14ac:dyDescent="0.25">
      <c r="A1405" s="163"/>
      <c r="B1405" s="101"/>
      <c r="C1405" s="101"/>
      <c r="D1405" s="101"/>
      <c r="E1405" s="102"/>
      <c r="F1405" s="101"/>
      <c r="G1405" s="96"/>
      <c r="H1405" s="96"/>
      <c r="I1405" s="169" t="s">
        <v>1193</v>
      </c>
      <c r="J1405" s="96"/>
      <c r="K1405" s="96"/>
      <c r="L1405" s="96"/>
      <c r="M1405" s="96"/>
      <c r="N1405" s="96"/>
      <c r="O1405" s="96"/>
      <c r="P1405" s="96"/>
      <c r="Q1405" s="96"/>
      <c r="R1405" s="25"/>
    </row>
    <row r="1406" spans="1:18" s="25" customFormat="1" ht="30" x14ac:dyDescent="0.25">
      <c r="A1406" s="149" t="s">
        <v>22</v>
      </c>
      <c r="B1406" s="148"/>
      <c r="C1406" s="148"/>
      <c r="D1406" s="143" t="s">
        <v>1097</v>
      </c>
      <c r="E1406" s="144" t="s">
        <v>1098</v>
      </c>
      <c r="F1406" s="143" t="s">
        <v>1215</v>
      </c>
      <c r="G1406" s="146"/>
      <c r="H1406" s="146"/>
      <c r="I1406" s="146">
        <v>1</v>
      </c>
      <c r="J1406" s="146">
        <f>SUM(J1407:J1409)</f>
        <v>232.8</v>
      </c>
      <c r="K1406" s="146">
        <f>SUM(K1407:K1409)</f>
        <v>78.89</v>
      </c>
      <c r="L1406" s="146">
        <f>J1406+K1406</f>
        <v>311.69</v>
      </c>
      <c r="M1406" s="146">
        <f>I1406*J1406</f>
        <v>232.8</v>
      </c>
      <c r="N1406" s="146">
        <f>I1406*K1406</f>
        <v>78.89</v>
      </c>
      <c r="O1406" s="146">
        <f>M1406+N1406</f>
        <v>311.69</v>
      </c>
      <c r="P1406" s="146">
        <f>O1406*$P$1</f>
        <v>79.979653999999996</v>
      </c>
      <c r="Q1406" s="146">
        <f>P1406+O1406</f>
        <v>391.66965399999998</v>
      </c>
    </row>
    <row r="1407" spans="1:18" x14ac:dyDescent="0.25">
      <c r="A1407" s="134" t="s">
        <v>22</v>
      </c>
      <c r="B1407" s="92"/>
      <c r="C1407" s="92">
        <v>88247</v>
      </c>
      <c r="D1407" s="92"/>
      <c r="E1407" s="107" t="s">
        <v>599</v>
      </c>
      <c r="F1407" s="92" t="s">
        <v>29</v>
      </c>
      <c r="G1407" s="94">
        <v>1.8</v>
      </c>
      <c r="H1407" s="94">
        <f>H825</f>
        <v>19.100000000000001</v>
      </c>
      <c r="I1407" s="116" t="s">
        <v>1193</v>
      </c>
      <c r="J1407" s="94"/>
      <c r="K1407" s="94">
        <f>ROUND(G1407*H1407,2)</f>
        <v>34.380000000000003</v>
      </c>
      <c r="L1407" s="94"/>
      <c r="M1407" s="94"/>
      <c r="N1407" s="94"/>
      <c r="O1407" s="94"/>
      <c r="P1407" s="94"/>
      <c r="Q1407" s="94"/>
      <c r="R1407" s="25"/>
    </row>
    <row r="1408" spans="1:18" x14ac:dyDescent="0.25">
      <c r="A1408" s="133" t="s">
        <v>22</v>
      </c>
      <c r="B1408" s="89"/>
      <c r="C1408" s="89">
        <v>88264</v>
      </c>
      <c r="D1408" s="89"/>
      <c r="E1408" s="90" t="s">
        <v>594</v>
      </c>
      <c r="F1408" s="89" t="s">
        <v>29</v>
      </c>
      <c r="G1408" s="91">
        <v>1.8</v>
      </c>
      <c r="H1408" s="91">
        <f>H826</f>
        <v>24.73</v>
      </c>
      <c r="I1408" s="117" t="s">
        <v>1193</v>
      </c>
      <c r="J1408" s="91"/>
      <c r="K1408" s="91">
        <f>ROUND(G1408*H1408,2)</f>
        <v>44.51</v>
      </c>
      <c r="L1408" s="91"/>
      <c r="M1408" s="91"/>
      <c r="N1408" s="91"/>
      <c r="O1408" s="91"/>
      <c r="P1408" s="91"/>
      <c r="Q1408" s="91"/>
      <c r="R1408" s="25"/>
    </row>
    <row r="1409" spans="1:18" ht="30" x14ac:dyDescent="0.25">
      <c r="A1409" s="134" t="s">
        <v>22</v>
      </c>
      <c r="B1409" s="92"/>
      <c r="C1409" s="92">
        <v>12359</v>
      </c>
      <c r="D1409" s="92"/>
      <c r="E1409" s="95" t="str">
        <f>E1406</f>
        <v>Relé térmico bimetal para uso em motores trifásicos, tensão 380 V, potência ate 15 CV, corrente nominal máxima 22 A</v>
      </c>
      <c r="F1409" s="92" t="s">
        <v>1215</v>
      </c>
      <c r="G1409" s="94">
        <v>1</v>
      </c>
      <c r="H1409" s="94">
        <v>232.8</v>
      </c>
      <c r="I1409" s="116" t="s">
        <v>1193</v>
      </c>
      <c r="J1409" s="94">
        <f>ROUND(H1409*G1409,2)</f>
        <v>232.8</v>
      </c>
      <c r="K1409" s="94"/>
      <c r="L1409" s="94"/>
      <c r="M1409" s="94"/>
      <c r="N1409" s="94"/>
      <c r="O1409" s="94"/>
      <c r="P1409" s="94"/>
      <c r="Q1409" s="94"/>
      <c r="R1409" s="25"/>
    </row>
    <row r="1410" spans="1:18" x14ac:dyDescent="0.25">
      <c r="A1410" s="159"/>
      <c r="B1410" s="160"/>
      <c r="C1410" s="160"/>
      <c r="D1410" s="160"/>
      <c r="E1410" s="161"/>
      <c r="F1410" s="160"/>
      <c r="G1410" s="162"/>
      <c r="H1410" s="162"/>
      <c r="I1410" s="170" t="s">
        <v>1193</v>
      </c>
      <c r="J1410" s="162"/>
      <c r="K1410" s="162"/>
      <c r="L1410" s="162"/>
      <c r="M1410" s="162"/>
      <c r="N1410" s="162"/>
      <c r="O1410" s="162"/>
      <c r="P1410" s="162"/>
      <c r="Q1410" s="162"/>
      <c r="R1410" s="25"/>
    </row>
    <row r="1411" spans="1:18" s="25" customFormat="1" ht="15.75" x14ac:dyDescent="0.25">
      <c r="A1411" s="136"/>
      <c r="B1411" s="97"/>
      <c r="C1411" s="97"/>
      <c r="D1411" s="97">
        <v>22</v>
      </c>
      <c r="E1411" s="98" t="s">
        <v>1099</v>
      </c>
      <c r="F1411" s="97"/>
      <c r="G1411" s="97"/>
      <c r="H1411" s="330"/>
      <c r="I1411" s="97" t="s">
        <v>1193</v>
      </c>
      <c r="J1411" s="330"/>
      <c r="K1411" s="330"/>
      <c r="L1411" s="330"/>
      <c r="M1411" s="330"/>
      <c r="N1411" s="330"/>
      <c r="O1411" s="330"/>
      <c r="P1411" s="330"/>
      <c r="Q1411" s="330">
        <f>SUM(Q1412:Q1474)</f>
        <v>1295.077092</v>
      </c>
    </row>
    <row r="1412" spans="1:18" s="190" customFormat="1" ht="15.75" x14ac:dyDescent="0.25">
      <c r="A1412" s="174"/>
      <c r="B1412" s="175"/>
      <c r="C1412" s="175"/>
      <c r="D1412" s="179"/>
      <c r="E1412" s="180" t="s">
        <v>1100</v>
      </c>
      <c r="F1412" s="179"/>
      <c r="G1412" s="181"/>
      <c r="H1412" s="182"/>
      <c r="I1412" s="181" t="s">
        <v>1193</v>
      </c>
      <c r="J1412" s="181"/>
      <c r="K1412" s="181"/>
      <c r="L1412" s="181"/>
      <c r="M1412" s="181"/>
      <c r="N1412" s="181"/>
      <c r="O1412" s="181"/>
      <c r="P1412" s="182"/>
      <c r="Q1412" s="182"/>
      <c r="R1412" s="25"/>
    </row>
    <row r="1413" spans="1:18" x14ac:dyDescent="0.25">
      <c r="A1413" s="163"/>
      <c r="B1413" s="101"/>
      <c r="C1413" s="101"/>
      <c r="D1413" s="101"/>
      <c r="E1413" s="102"/>
      <c r="F1413" s="101"/>
      <c r="G1413" s="96"/>
      <c r="H1413" s="96"/>
      <c r="I1413" s="169" t="s">
        <v>1193</v>
      </c>
      <c r="J1413" s="96"/>
      <c r="K1413" s="96"/>
      <c r="L1413" s="96"/>
      <c r="M1413" s="96"/>
      <c r="N1413" s="96"/>
      <c r="O1413" s="96"/>
      <c r="P1413" s="96"/>
      <c r="Q1413" s="96"/>
      <c r="R1413" s="25"/>
    </row>
    <row r="1414" spans="1:18" s="25" customFormat="1" x14ac:dyDescent="0.25">
      <c r="A1414" s="149" t="s">
        <v>22</v>
      </c>
      <c r="B1414" s="148"/>
      <c r="C1414" s="148">
        <v>100902</v>
      </c>
      <c r="D1414" s="143" t="s">
        <v>1101</v>
      </c>
      <c r="E1414" s="144" t="s">
        <v>1102</v>
      </c>
      <c r="F1414" s="143" t="s">
        <v>1215</v>
      </c>
      <c r="G1414" s="146"/>
      <c r="H1414" s="146"/>
      <c r="I1414" s="146">
        <v>1</v>
      </c>
      <c r="J1414" s="146">
        <f>SUM(J1415:J1417)</f>
        <v>12.1</v>
      </c>
      <c r="K1414" s="146">
        <f>SUM(K1415:K1417)</f>
        <v>8.1</v>
      </c>
      <c r="L1414" s="146">
        <f>J1414+K1414</f>
        <v>20.2</v>
      </c>
      <c r="M1414" s="146">
        <f>I1414*J1414</f>
        <v>12.1</v>
      </c>
      <c r="N1414" s="146">
        <f>I1414*K1414</f>
        <v>8.1</v>
      </c>
      <c r="O1414" s="146">
        <f>M1414+N1414</f>
        <v>20.2</v>
      </c>
      <c r="P1414" s="146">
        <f>O1414*$P$1</f>
        <v>5.1833200000000001</v>
      </c>
      <c r="Q1414" s="146">
        <f>P1414+O1414</f>
        <v>25.383319999999998</v>
      </c>
    </row>
    <row r="1415" spans="1:18" x14ac:dyDescent="0.25">
      <c r="A1415" s="134" t="s">
        <v>22</v>
      </c>
      <c r="B1415" s="92"/>
      <c r="C1415" s="92">
        <v>88247</v>
      </c>
      <c r="D1415" s="92"/>
      <c r="E1415" s="107" t="s">
        <v>599</v>
      </c>
      <c r="F1415" s="92" t="s">
        <v>29</v>
      </c>
      <c r="G1415" s="108">
        <v>0.1033</v>
      </c>
      <c r="H1415" s="94">
        <f>H825</f>
        <v>19.100000000000001</v>
      </c>
      <c r="I1415" s="116" t="s">
        <v>1193</v>
      </c>
      <c r="J1415" s="94"/>
      <c r="K1415" s="94">
        <f>ROUND(G1415*H1415,2)</f>
        <v>1.97</v>
      </c>
      <c r="L1415" s="94"/>
      <c r="M1415" s="94"/>
      <c r="N1415" s="94"/>
      <c r="O1415" s="94"/>
      <c r="P1415" s="94"/>
      <c r="Q1415" s="94"/>
      <c r="R1415" s="25"/>
    </row>
    <row r="1416" spans="1:18" x14ac:dyDescent="0.25">
      <c r="A1416" s="133" t="s">
        <v>22</v>
      </c>
      <c r="B1416" s="89"/>
      <c r="C1416" s="89">
        <v>88264</v>
      </c>
      <c r="D1416" s="89"/>
      <c r="E1416" s="90" t="s">
        <v>594</v>
      </c>
      <c r="F1416" s="89" t="s">
        <v>29</v>
      </c>
      <c r="G1416" s="109">
        <v>0.24779999999999999</v>
      </c>
      <c r="H1416" s="91">
        <f>H826</f>
        <v>24.73</v>
      </c>
      <c r="I1416" s="117" t="s">
        <v>1193</v>
      </c>
      <c r="J1416" s="91"/>
      <c r="K1416" s="91">
        <f>ROUND(G1416*H1416,2)</f>
        <v>6.13</v>
      </c>
      <c r="L1416" s="91"/>
      <c r="M1416" s="91"/>
      <c r="N1416" s="91"/>
      <c r="O1416" s="91"/>
      <c r="P1416" s="91"/>
      <c r="Q1416" s="91"/>
      <c r="R1416" s="25"/>
    </row>
    <row r="1417" spans="1:18" x14ac:dyDescent="0.25">
      <c r="A1417" s="134" t="s">
        <v>22</v>
      </c>
      <c r="B1417" s="92"/>
      <c r="C1417" s="92">
        <v>39386</v>
      </c>
      <c r="D1417" s="92"/>
      <c r="E1417" s="93" t="str">
        <f>E1414</f>
        <v>Lâmpada Tubular LED de 9/10 W, base G13 - Fornecimento e instalação</v>
      </c>
      <c r="F1417" s="92" t="s">
        <v>1215</v>
      </c>
      <c r="G1417" s="94">
        <v>1</v>
      </c>
      <c r="H1417" s="94">
        <v>12.1</v>
      </c>
      <c r="I1417" s="116" t="s">
        <v>1193</v>
      </c>
      <c r="J1417" s="94">
        <f>ROUND(H1417*G1417,2)</f>
        <v>12.1</v>
      </c>
      <c r="K1417" s="94"/>
      <c r="L1417" s="94"/>
      <c r="M1417" s="94"/>
      <c r="N1417" s="94"/>
      <c r="O1417" s="94"/>
      <c r="P1417" s="94"/>
      <c r="Q1417" s="94"/>
      <c r="R1417" s="25"/>
    </row>
    <row r="1418" spans="1:18" x14ac:dyDescent="0.25">
      <c r="A1418" s="159"/>
      <c r="B1418" s="160"/>
      <c r="C1418" s="160"/>
      <c r="D1418" s="160"/>
      <c r="E1418" s="161"/>
      <c r="F1418" s="160"/>
      <c r="G1418" s="162"/>
      <c r="H1418" s="162"/>
      <c r="I1418" s="170" t="s">
        <v>1193</v>
      </c>
      <c r="J1418" s="162"/>
      <c r="K1418" s="162"/>
      <c r="L1418" s="162"/>
      <c r="M1418" s="162"/>
      <c r="N1418" s="162"/>
      <c r="O1418" s="162"/>
      <c r="P1418" s="162"/>
      <c r="Q1418" s="162"/>
      <c r="R1418" s="25"/>
    </row>
    <row r="1419" spans="1:18" s="25" customFormat="1" x14ac:dyDescent="0.25">
      <c r="A1419" s="149" t="s">
        <v>22</v>
      </c>
      <c r="B1419" s="148"/>
      <c r="C1419" s="148">
        <v>100903</v>
      </c>
      <c r="D1419" s="143" t="s">
        <v>1103</v>
      </c>
      <c r="E1419" s="144" t="s">
        <v>1104</v>
      </c>
      <c r="F1419" s="143" t="s">
        <v>1215</v>
      </c>
      <c r="G1419" s="146"/>
      <c r="H1419" s="146"/>
      <c r="I1419" s="146">
        <v>1</v>
      </c>
      <c r="J1419" s="146">
        <f>SUM(J1420:J1422)</f>
        <v>17.350000000000001</v>
      </c>
      <c r="K1419" s="146">
        <f>SUM(K1420:K1422)</f>
        <v>8.1</v>
      </c>
      <c r="L1419" s="146">
        <f>J1419+K1419</f>
        <v>25.450000000000003</v>
      </c>
      <c r="M1419" s="146">
        <f>I1419*J1419</f>
        <v>17.350000000000001</v>
      </c>
      <c r="N1419" s="146">
        <f>I1419*K1419</f>
        <v>8.1</v>
      </c>
      <c r="O1419" s="146">
        <f>M1419+N1419</f>
        <v>25.450000000000003</v>
      </c>
      <c r="P1419" s="146">
        <f>O1419*$P$1</f>
        <v>6.5304700000000002</v>
      </c>
      <c r="Q1419" s="146">
        <f>P1419+O1419</f>
        <v>31.980470000000004</v>
      </c>
    </row>
    <row r="1420" spans="1:18" x14ac:dyDescent="0.25">
      <c r="A1420" s="133" t="s">
        <v>22</v>
      </c>
      <c r="B1420" s="89"/>
      <c r="C1420" s="89">
        <v>88247</v>
      </c>
      <c r="D1420" s="89"/>
      <c r="E1420" s="105" t="s">
        <v>599</v>
      </c>
      <c r="F1420" s="89" t="s">
        <v>29</v>
      </c>
      <c r="G1420" s="109">
        <v>0.1033</v>
      </c>
      <c r="H1420" s="91">
        <f>H825</f>
        <v>19.100000000000001</v>
      </c>
      <c r="I1420" s="117" t="s">
        <v>1193</v>
      </c>
      <c r="J1420" s="91"/>
      <c r="K1420" s="91">
        <f>ROUND(G1420*H1420,2)</f>
        <v>1.97</v>
      </c>
      <c r="L1420" s="91"/>
      <c r="M1420" s="91"/>
      <c r="N1420" s="91"/>
      <c r="O1420" s="91"/>
      <c r="P1420" s="91"/>
      <c r="Q1420" s="91"/>
      <c r="R1420" s="25"/>
    </row>
    <row r="1421" spans="1:18" x14ac:dyDescent="0.25">
      <c r="A1421" s="134" t="s">
        <v>22</v>
      </c>
      <c r="B1421" s="92"/>
      <c r="C1421" s="92">
        <v>88264</v>
      </c>
      <c r="D1421" s="92"/>
      <c r="E1421" s="93" t="s">
        <v>594</v>
      </c>
      <c r="F1421" s="92" t="s">
        <v>29</v>
      </c>
      <c r="G1421" s="108">
        <v>0.24779999999999999</v>
      </c>
      <c r="H1421" s="94">
        <f>H826</f>
        <v>24.73</v>
      </c>
      <c r="I1421" s="116" t="s">
        <v>1193</v>
      </c>
      <c r="J1421" s="94"/>
      <c r="K1421" s="94">
        <f>ROUND(G1421*H1421,2)</f>
        <v>6.13</v>
      </c>
      <c r="L1421" s="94"/>
      <c r="M1421" s="94"/>
      <c r="N1421" s="94"/>
      <c r="O1421" s="94"/>
      <c r="P1421" s="94"/>
      <c r="Q1421" s="94"/>
      <c r="R1421" s="25"/>
    </row>
    <row r="1422" spans="1:18" x14ac:dyDescent="0.25">
      <c r="A1422" s="133" t="s">
        <v>22</v>
      </c>
      <c r="B1422" s="89"/>
      <c r="C1422" s="99">
        <v>39387</v>
      </c>
      <c r="D1422" s="99"/>
      <c r="E1422" s="100" t="str">
        <f>E1419</f>
        <v>Lâmpada tubular LED de 18/20 W, base G13 - fornecimento e instalação</v>
      </c>
      <c r="F1422" s="89" t="s">
        <v>1215</v>
      </c>
      <c r="G1422" s="91">
        <v>1</v>
      </c>
      <c r="H1422" s="91">
        <v>17.350000000000001</v>
      </c>
      <c r="I1422" s="117" t="s">
        <v>1193</v>
      </c>
      <c r="J1422" s="91">
        <f>ROUND(H1422*G1422,2)</f>
        <v>17.350000000000001</v>
      </c>
      <c r="K1422" s="91"/>
      <c r="L1422" s="91"/>
      <c r="M1422" s="91"/>
      <c r="N1422" s="91"/>
      <c r="O1422" s="91"/>
      <c r="P1422" s="91"/>
      <c r="Q1422" s="91"/>
      <c r="R1422" s="25"/>
    </row>
    <row r="1423" spans="1:18" x14ac:dyDescent="0.25">
      <c r="A1423" s="163"/>
      <c r="B1423" s="101"/>
      <c r="C1423" s="101"/>
      <c r="D1423" s="101"/>
      <c r="E1423" s="102"/>
      <c r="F1423" s="101"/>
      <c r="G1423" s="96"/>
      <c r="H1423" s="96"/>
      <c r="I1423" s="169" t="s">
        <v>1193</v>
      </c>
      <c r="J1423" s="96"/>
      <c r="K1423" s="96"/>
      <c r="L1423" s="96"/>
      <c r="M1423" s="96"/>
      <c r="N1423" s="96"/>
      <c r="O1423" s="96"/>
      <c r="P1423" s="96"/>
      <c r="Q1423" s="96"/>
      <c r="R1423" s="25"/>
    </row>
    <row r="1424" spans="1:18" s="25" customFormat="1" ht="30" x14ac:dyDescent="0.25">
      <c r="A1424" s="149"/>
      <c r="B1424" s="148"/>
      <c r="C1424" s="148"/>
      <c r="D1424" s="143" t="s">
        <v>1105</v>
      </c>
      <c r="E1424" s="144" t="s">
        <v>1106</v>
      </c>
      <c r="F1424" s="143" t="s">
        <v>1215</v>
      </c>
      <c r="G1424" s="146"/>
      <c r="H1424" s="146"/>
      <c r="I1424" s="146">
        <v>1</v>
      </c>
      <c r="J1424" s="146">
        <f>SUM(J1425:J1426)</f>
        <v>9.0500000000000007</v>
      </c>
      <c r="K1424" s="146">
        <f>SUM(K1425:K1426)</f>
        <v>1.91</v>
      </c>
      <c r="L1424" s="146">
        <f>J1424+K1424</f>
        <v>10.96</v>
      </c>
      <c r="M1424" s="146">
        <f>I1424*J1424</f>
        <v>9.0500000000000007</v>
      </c>
      <c r="N1424" s="146">
        <f>I1424*K1424</f>
        <v>1.91</v>
      </c>
      <c r="O1424" s="146">
        <f>M1424+N1424</f>
        <v>10.96</v>
      </c>
      <c r="P1424" s="146">
        <f>O1424*$P$1</f>
        <v>2.8123360000000002</v>
      </c>
      <c r="Q1424" s="146">
        <f>P1424+O1424</f>
        <v>13.772336000000001</v>
      </c>
    </row>
    <row r="1425" spans="1:18" x14ac:dyDescent="0.25">
      <c r="A1425" s="134" t="s">
        <v>22</v>
      </c>
      <c r="B1425" s="92"/>
      <c r="C1425" s="92">
        <v>88247</v>
      </c>
      <c r="D1425" s="92"/>
      <c r="E1425" s="107" t="s">
        <v>599</v>
      </c>
      <c r="F1425" s="92" t="s">
        <v>29</v>
      </c>
      <c r="G1425" s="94">
        <v>0.1</v>
      </c>
      <c r="H1425" s="94">
        <f>H825</f>
        <v>19.100000000000001</v>
      </c>
      <c r="I1425" s="116" t="s">
        <v>1193</v>
      </c>
      <c r="J1425" s="94"/>
      <c r="K1425" s="94">
        <f>ROUND(G1425*H1425,2)</f>
        <v>1.91</v>
      </c>
      <c r="L1425" s="94"/>
      <c r="M1425" s="94"/>
      <c r="N1425" s="94"/>
      <c r="O1425" s="94"/>
      <c r="P1425" s="94"/>
      <c r="Q1425" s="94"/>
      <c r="R1425" s="25"/>
    </row>
    <row r="1426" spans="1:18" x14ac:dyDescent="0.25">
      <c r="A1426" s="133" t="s">
        <v>22</v>
      </c>
      <c r="B1426" s="89"/>
      <c r="C1426" s="89">
        <v>38194</v>
      </c>
      <c r="D1426" s="89"/>
      <c r="E1426" s="90" t="str">
        <f>E1424</f>
        <v>Lampada bulbo  de LED 9W , 4000K, IRC&gt;85 900 lumens- Bivolt - com certificado inmetro</v>
      </c>
      <c r="F1426" s="89" t="s">
        <v>1215</v>
      </c>
      <c r="G1426" s="91">
        <v>1</v>
      </c>
      <c r="H1426" s="91">
        <v>9.0500000000000007</v>
      </c>
      <c r="I1426" s="117" t="s">
        <v>1193</v>
      </c>
      <c r="J1426" s="91">
        <f>ROUND(H1426*G1426,2)</f>
        <v>9.0500000000000007</v>
      </c>
      <c r="K1426" s="91"/>
      <c r="L1426" s="91"/>
      <c r="M1426" s="91"/>
      <c r="N1426" s="91"/>
      <c r="O1426" s="91"/>
      <c r="P1426" s="91"/>
      <c r="Q1426" s="91"/>
      <c r="R1426" s="25"/>
    </row>
    <row r="1427" spans="1:18" x14ac:dyDescent="0.25">
      <c r="A1427" s="163"/>
      <c r="B1427" s="101"/>
      <c r="C1427" s="101"/>
      <c r="D1427" s="101"/>
      <c r="E1427" s="102"/>
      <c r="F1427" s="101"/>
      <c r="G1427" s="96"/>
      <c r="H1427" s="96"/>
      <c r="I1427" s="169" t="s">
        <v>1193</v>
      </c>
      <c r="J1427" s="96"/>
      <c r="K1427" s="96"/>
      <c r="L1427" s="96"/>
      <c r="M1427" s="96"/>
      <c r="N1427" s="96"/>
      <c r="O1427" s="96"/>
      <c r="P1427" s="96"/>
      <c r="Q1427" s="96"/>
      <c r="R1427" s="25"/>
    </row>
    <row r="1428" spans="1:18" s="25" customFormat="1" x14ac:dyDescent="0.25">
      <c r="A1428" s="149"/>
      <c r="B1428" s="148"/>
      <c r="C1428" s="148"/>
      <c r="D1428" s="143" t="s">
        <v>1107</v>
      </c>
      <c r="E1428" s="144" t="s">
        <v>1108</v>
      </c>
      <c r="F1428" s="143" t="s">
        <v>1215</v>
      </c>
      <c r="G1428" s="146"/>
      <c r="H1428" s="146"/>
      <c r="I1428" s="146">
        <v>1</v>
      </c>
      <c r="J1428" s="146">
        <f>SUM(J1429:J1431)</f>
        <v>53.09</v>
      </c>
      <c r="K1428" s="146">
        <f>SUM(K1429:K1431)</f>
        <v>65.75</v>
      </c>
      <c r="L1428" s="146">
        <f>J1428+K1428</f>
        <v>118.84</v>
      </c>
      <c r="M1428" s="146">
        <f>I1428*J1428</f>
        <v>53.09</v>
      </c>
      <c r="N1428" s="146">
        <f>I1428*K1428</f>
        <v>65.75</v>
      </c>
      <c r="O1428" s="146">
        <f>M1428+N1428</f>
        <v>118.84</v>
      </c>
      <c r="P1428" s="146">
        <f>O1428*$P$1</f>
        <v>30.494344000000002</v>
      </c>
      <c r="Q1428" s="146">
        <f>P1428+O1428</f>
        <v>149.33434400000002</v>
      </c>
    </row>
    <row r="1429" spans="1:18" x14ac:dyDescent="0.25">
      <c r="A1429" s="134" t="s">
        <v>22</v>
      </c>
      <c r="B1429" s="92"/>
      <c r="C1429" s="92">
        <v>88247</v>
      </c>
      <c r="D1429" s="92"/>
      <c r="E1429" s="107" t="s">
        <v>599</v>
      </c>
      <c r="F1429" s="92" t="s">
        <v>29</v>
      </c>
      <c r="G1429" s="94">
        <v>1.5</v>
      </c>
      <c r="H1429" s="94">
        <f>H825</f>
        <v>19.100000000000001</v>
      </c>
      <c r="I1429" s="116" t="s">
        <v>1193</v>
      </c>
      <c r="J1429" s="94"/>
      <c r="K1429" s="94">
        <f>ROUND(G1429*H1429,2)</f>
        <v>28.65</v>
      </c>
      <c r="L1429" s="94"/>
      <c r="M1429" s="94"/>
      <c r="N1429" s="94"/>
      <c r="O1429" s="94"/>
      <c r="P1429" s="94"/>
      <c r="Q1429" s="94"/>
      <c r="R1429" s="25"/>
    </row>
    <row r="1430" spans="1:18" x14ac:dyDescent="0.25">
      <c r="A1430" s="133" t="s">
        <v>22</v>
      </c>
      <c r="B1430" s="89"/>
      <c r="C1430" s="89">
        <v>88264</v>
      </c>
      <c r="D1430" s="89"/>
      <c r="E1430" s="90" t="s">
        <v>594</v>
      </c>
      <c r="F1430" s="89" t="s">
        <v>29</v>
      </c>
      <c r="G1430" s="91">
        <v>1.5</v>
      </c>
      <c r="H1430" s="91">
        <f>H826</f>
        <v>24.73</v>
      </c>
      <c r="I1430" s="117" t="s">
        <v>1193</v>
      </c>
      <c r="J1430" s="91"/>
      <c r="K1430" s="91">
        <f>ROUND(G1430*H1430,2)</f>
        <v>37.1</v>
      </c>
      <c r="L1430" s="91"/>
      <c r="M1430" s="91"/>
      <c r="N1430" s="91"/>
      <c r="O1430" s="91"/>
      <c r="P1430" s="91"/>
      <c r="Q1430" s="91"/>
      <c r="R1430" s="25"/>
    </row>
    <row r="1431" spans="1:18" x14ac:dyDescent="0.25">
      <c r="A1431" s="134" t="s">
        <v>22</v>
      </c>
      <c r="B1431" s="92"/>
      <c r="C1431" s="92">
        <v>39391</v>
      </c>
      <c r="D1431" s="92"/>
      <c r="E1431" s="93" t="str">
        <f>E1428</f>
        <v xml:space="preserve">Refletor externo  SUPER LED 50W - 6000K, </v>
      </c>
      <c r="F1431" s="92" t="s">
        <v>1215</v>
      </c>
      <c r="G1431" s="94">
        <v>1</v>
      </c>
      <c r="H1431" s="94">
        <v>53.09</v>
      </c>
      <c r="I1431" s="116" t="s">
        <v>1193</v>
      </c>
      <c r="J1431" s="94">
        <f>ROUND(H1431*G1431,2)</f>
        <v>53.09</v>
      </c>
      <c r="K1431" s="94"/>
      <c r="L1431" s="94"/>
      <c r="M1431" s="94"/>
      <c r="N1431" s="94"/>
      <c r="O1431" s="94"/>
      <c r="P1431" s="94"/>
      <c r="Q1431" s="94"/>
      <c r="R1431" s="25"/>
    </row>
    <row r="1432" spans="1:18" x14ac:dyDescent="0.25">
      <c r="A1432" s="159"/>
      <c r="B1432" s="160"/>
      <c r="C1432" s="160"/>
      <c r="D1432" s="160"/>
      <c r="E1432" s="161"/>
      <c r="F1432" s="160"/>
      <c r="G1432" s="162"/>
      <c r="H1432" s="162"/>
      <c r="I1432" s="170" t="s">
        <v>1193</v>
      </c>
      <c r="J1432" s="162"/>
      <c r="K1432" s="162"/>
      <c r="L1432" s="162"/>
      <c r="M1432" s="162"/>
      <c r="N1432" s="162"/>
      <c r="O1432" s="162"/>
      <c r="P1432" s="162"/>
      <c r="Q1432" s="162"/>
      <c r="R1432" s="25"/>
    </row>
    <row r="1433" spans="1:18" s="25" customFormat="1" x14ac:dyDescent="0.25">
      <c r="A1433" s="149"/>
      <c r="B1433" s="148"/>
      <c r="C1433" s="148"/>
      <c r="D1433" s="143" t="s">
        <v>1109</v>
      </c>
      <c r="E1433" s="144" t="s">
        <v>1110</v>
      </c>
      <c r="F1433" s="143" t="s">
        <v>1215</v>
      </c>
      <c r="G1433" s="146"/>
      <c r="H1433" s="146"/>
      <c r="I1433" s="146">
        <v>1</v>
      </c>
      <c r="J1433" s="146">
        <f>SUM(J1434:J1436)</f>
        <v>59.63</v>
      </c>
      <c r="K1433" s="146">
        <f>SUM(K1434:K1436)</f>
        <v>65.75</v>
      </c>
      <c r="L1433" s="146">
        <f>J1433+K1433</f>
        <v>125.38</v>
      </c>
      <c r="M1433" s="146">
        <f>I1433*J1433</f>
        <v>59.63</v>
      </c>
      <c r="N1433" s="146">
        <f>I1433*K1433</f>
        <v>65.75</v>
      </c>
      <c r="O1433" s="146">
        <f>M1433+N1433</f>
        <v>125.38</v>
      </c>
      <c r="P1433" s="146">
        <f>O1433*$P$1</f>
        <v>32.172508000000001</v>
      </c>
      <c r="Q1433" s="146">
        <f>P1433+O1433</f>
        <v>157.55250799999999</v>
      </c>
    </row>
    <row r="1434" spans="1:18" x14ac:dyDescent="0.25">
      <c r="A1434" s="133" t="s">
        <v>22</v>
      </c>
      <c r="B1434" s="89"/>
      <c r="C1434" s="89">
        <v>88247</v>
      </c>
      <c r="D1434" s="89"/>
      <c r="E1434" s="105" t="s">
        <v>599</v>
      </c>
      <c r="F1434" s="89" t="s">
        <v>29</v>
      </c>
      <c r="G1434" s="91">
        <v>1.5</v>
      </c>
      <c r="H1434" s="91">
        <f>H825</f>
        <v>19.100000000000001</v>
      </c>
      <c r="I1434" s="117" t="s">
        <v>1193</v>
      </c>
      <c r="J1434" s="91"/>
      <c r="K1434" s="91">
        <f>ROUND(G1434*H1434,2)</f>
        <v>28.65</v>
      </c>
      <c r="L1434" s="91"/>
      <c r="M1434" s="91"/>
      <c r="N1434" s="91"/>
      <c r="O1434" s="91"/>
      <c r="P1434" s="91"/>
      <c r="Q1434" s="91"/>
      <c r="R1434" s="25"/>
    </row>
    <row r="1435" spans="1:18" x14ac:dyDescent="0.25">
      <c r="A1435" s="134" t="s">
        <v>22</v>
      </c>
      <c r="B1435" s="92"/>
      <c r="C1435" s="92">
        <v>88264</v>
      </c>
      <c r="D1435" s="92"/>
      <c r="E1435" s="93" t="s">
        <v>594</v>
      </c>
      <c r="F1435" s="92" t="s">
        <v>29</v>
      </c>
      <c r="G1435" s="94">
        <v>1.5</v>
      </c>
      <c r="H1435" s="94">
        <f>H826</f>
        <v>24.73</v>
      </c>
      <c r="I1435" s="116" t="s">
        <v>1193</v>
      </c>
      <c r="J1435" s="94"/>
      <c r="K1435" s="94">
        <f>ROUND(G1435*H1435,2)</f>
        <v>37.1</v>
      </c>
      <c r="L1435" s="94"/>
      <c r="M1435" s="94"/>
      <c r="N1435" s="94"/>
      <c r="O1435" s="94"/>
      <c r="P1435" s="94"/>
      <c r="Q1435" s="94"/>
      <c r="R1435" s="25"/>
    </row>
    <row r="1436" spans="1:18" x14ac:dyDescent="0.25">
      <c r="A1436" s="252" t="s">
        <v>877</v>
      </c>
      <c r="B1436" s="89"/>
      <c r="C1436" s="89"/>
      <c r="D1436" s="89"/>
      <c r="E1436" s="90" t="str">
        <f>E1433</f>
        <v>Refletor externo SUPER LED 100W - 9000 lumens</v>
      </c>
      <c r="F1436" s="89" t="s">
        <v>1215</v>
      </c>
      <c r="G1436" s="91">
        <v>1</v>
      </c>
      <c r="H1436" s="342">
        <f>'MAPA COTAÇÕES ELÉTRICA'!L33</f>
        <v>59.626666666666665</v>
      </c>
      <c r="I1436" s="253" t="s">
        <v>1193</v>
      </c>
      <c r="J1436" s="193">
        <f>ROUND(H1436*G1436,2)</f>
        <v>59.63</v>
      </c>
      <c r="K1436" s="193"/>
      <c r="L1436" s="193"/>
      <c r="M1436" s="193"/>
      <c r="N1436" s="193"/>
      <c r="O1436" s="193"/>
      <c r="P1436" s="193"/>
      <c r="Q1436" s="193"/>
      <c r="R1436" s="25"/>
    </row>
    <row r="1437" spans="1:18" x14ac:dyDescent="0.25">
      <c r="A1437" s="163"/>
      <c r="B1437" s="101"/>
      <c r="C1437" s="101"/>
      <c r="D1437" s="101"/>
      <c r="E1437" s="102"/>
      <c r="F1437" s="101"/>
      <c r="G1437" s="96"/>
      <c r="H1437" s="96"/>
      <c r="I1437" s="169" t="s">
        <v>1193</v>
      </c>
      <c r="J1437" s="96"/>
      <c r="K1437" s="96"/>
      <c r="L1437" s="96"/>
      <c r="M1437" s="96"/>
      <c r="N1437" s="96"/>
      <c r="O1437" s="96"/>
      <c r="P1437" s="96"/>
      <c r="Q1437" s="96"/>
      <c r="R1437" s="25"/>
    </row>
    <row r="1438" spans="1:18" ht="15.75" x14ac:dyDescent="0.25">
      <c r="A1438" s="138"/>
      <c r="B1438" s="121"/>
      <c r="C1438" s="121"/>
      <c r="D1438" s="122"/>
      <c r="E1438" s="123" t="s">
        <v>1111</v>
      </c>
      <c r="F1438" s="122"/>
      <c r="G1438" s="124"/>
      <c r="H1438" s="125"/>
      <c r="I1438" s="124" t="s">
        <v>1193</v>
      </c>
      <c r="J1438" s="124"/>
      <c r="K1438" s="124"/>
      <c r="L1438" s="124"/>
      <c r="M1438" s="124"/>
      <c r="N1438" s="124"/>
      <c r="O1438" s="124"/>
      <c r="P1438" s="125"/>
      <c r="Q1438" s="125"/>
      <c r="R1438" s="25"/>
    </row>
    <row r="1439" spans="1:18" x14ac:dyDescent="0.25">
      <c r="A1439" s="163"/>
      <c r="B1439" s="101"/>
      <c r="C1439" s="101"/>
      <c r="D1439" s="101"/>
      <c r="E1439" s="102"/>
      <c r="F1439" s="101"/>
      <c r="G1439" s="96"/>
      <c r="H1439" s="96"/>
      <c r="I1439" s="169" t="s">
        <v>1193</v>
      </c>
      <c r="J1439" s="96"/>
      <c r="K1439" s="96"/>
      <c r="L1439" s="96"/>
      <c r="M1439" s="96"/>
      <c r="N1439" s="96"/>
      <c r="O1439" s="96"/>
      <c r="P1439" s="96"/>
      <c r="Q1439" s="96"/>
      <c r="R1439" s="25"/>
    </row>
    <row r="1440" spans="1:18" s="25" customFormat="1" x14ac:dyDescent="0.25">
      <c r="A1440" s="149"/>
      <c r="B1440" s="148"/>
      <c r="C1440" s="148"/>
      <c r="D1440" s="143" t="s">
        <v>1160</v>
      </c>
      <c r="E1440" s="144" t="s">
        <v>1113</v>
      </c>
      <c r="F1440" s="143" t="s">
        <v>1215</v>
      </c>
      <c r="G1440" s="146"/>
      <c r="H1440" s="146"/>
      <c r="I1440" s="146">
        <v>1</v>
      </c>
      <c r="J1440" s="146">
        <f>SUM(J1441:J1443)</f>
        <v>105.17</v>
      </c>
      <c r="K1440" s="146">
        <f>SUM(K1441:K1443)</f>
        <v>37.26</v>
      </c>
      <c r="L1440" s="146">
        <f>J1440+K1440</f>
        <v>142.43</v>
      </c>
      <c r="M1440" s="146">
        <f>I1440*J1440</f>
        <v>105.17</v>
      </c>
      <c r="N1440" s="146">
        <f>I1440*K1440</f>
        <v>37.26</v>
      </c>
      <c r="O1440" s="146">
        <f>M1440+N1440</f>
        <v>142.43</v>
      </c>
      <c r="P1440" s="146">
        <f>O1440*$P$1</f>
        <v>36.547538000000003</v>
      </c>
      <c r="Q1440" s="146">
        <f>P1440+O1440</f>
        <v>178.97753800000001</v>
      </c>
    </row>
    <row r="1441" spans="1:18" x14ac:dyDescent="0.25">
      <c r="A1441" s="134" t="s">
        <v>22</v>
      </c>
      <c r="B1441" s="92"/>
      <c r="C1441" s="92">
        <v>88247</v>
      </c>
      <c r="D1441" s="92"/>
      <c r="E1441" s="107" t="s">
        <v>599</v>
      </c>
      <c r="F1441" s="92" t="s">
        <v>29</v>
      </c>
      <c r="G1441" s="94">
        <v>0.85</v>
      </c>
      <c r="H1441" s="94">
        <f>H825</f>
        <v>19.100000000000001</v>
      </c>
      <c r="I1441" s="116" t="s">
        <v>1193</v>
      </c>
      <c r="J1441" s="94"/>
      <c r="K1441" s="94">
        <f>ROUND(G1441*H1441,2)</f>
        <v>16.239999999999998</v>
      </c>
      <c r="L1441" s="94"/>
      <c r="M1441" s="94"/>
      <c r="N1441" s="94"/>
      <c r="O1441" s="94"/>
      <c r="P1441" s="94"/>
      <c r="Q1441" s="94"/>
      <c r="R1441" s="25"/>
    </row>
    <row r="1442" spans="1:18" x14ac:dyDescent="0.25">
      <c r="A1442" s="133" t="s">
        <v>22</v>
      </c>
      <c r="B1442" s="89"/>
      <c r="C1442" s="89">
        <v>88264</v>
      </c>
      <c r="D1442" s="89"/>
      <c r="E1442" s="90" t="s">
        <v>594</v>
      </c>
      <c r="F1442" s="89" t="s">
        <v>29</v>
      </c>
      <c r="G1442" s="91">
        <v>0.85</v>
      </c>
      <c r="H1442" s="91">
        <f>H826</f>
        <v>24.73</v>
      </c>
      <c r="I1442" s="117" t="s">
        <v>1193</v>
      </c>
      <c r="J1442" s="91"/>
      <c r="K1442" s="91">
        <f>ROUND(G1442*H1442,2)</f>
        <v>21.02</v>
      </c>
      <c r="L1442" s="91"/>
      <c r="M1442" s="91"/>
      <c r="N1442" s="91"/>
      <c r="O1442" s="91"/>
      <c r="P1442" s="91"/>
      <c r="Q1442" s="91"/>
      <c r="R1442" s="25"/>
    </row>
    <row r="1443" spans="1:18" ht="30" x14ac:dyDescent="0.25">
      <c r="A1443" s="252" t="s">
        <v>877</v>
      </c>
      <c r="B1443" s="89"/>
      <c r="C1443" s="89"/>
      <c r="D1443" s="89"/>
      <c r="E1443" s="100" t="s">
        <v>1114</v>
      </c>
      <c r="F1443" s="89" t="s">
        <v>1215</v>
      </c>
      <c r="G1443" s="91">
        <v>1</v>
      </c>
      <c r="H1443" s="342">
        <f>'MAPA COTAÇÕES ELÉTRICA'!L46</f>
        <v>105.17</v>
      </c>
      <c r="I1443" s="253" t="s">
        <v>1193</v>
      </c>
      <c r="J1443" s="193">
        <f>ROUND(H1443*G1443,2)</f>
        <v>105.17</v>
      </c>
      <c r="K1443" s="193"/>
      <c r="L1443" s="193"/>
      <c r="M1443" s="193"/>
      <c r="N1443" s="193"/>
      <c r="O1443" s="193"/>
      <c r="P1443" s="193"/>
      <c r="Q1443" s="193"/>
      <c r="R1443" s="25"/>
    </row>
    <row r="1444" spans="1:18" x14ac:dyDescent="0.25">
      <c r="A1444" s="159"/>
      <c r="B1444" s="160"/>
      <c r="C1444" s="160"/>
      <c r="D1444" s="160"/>
      <c r="E1444" s="161"/>
      <c r="F1444" s="160"/>
      <c r="G1444" s="162"/>
      <c r="H1444" s="162"/>
      <c r="I1444" s="170" t="s">
        <v>1193</v>
      </c>
      <c r="J1444" s="162"/>
      <c r="K1444" s="162"/>
      <c r="L1444" s="162"/>
      <c r="M1444" s="162"/>
      <c r="N1444" s="162"/>
      <c r="O1444" s="162"/>
      <c r="P1444" s="162"/>
      <c r="Q1444" s="162"/>
      <c r="R1444" s="25"/>
    </row>
    <row r="1445" spans="1:18" s="25" customFormat="1" ht="30" x14ac:dyDescent="0.25">
      <c r="A1445" s="149"/>
      <c r="B1445" s="148"/>
      <c r="C1445" s="148"/>
      <c r="D1445" s="143" t="s">
        <v>1112</v>
      </c>
      <c r="E1445" s="144" t="s">
        <v>1116</v>
      </c>
      <c r="F1445" s="143" t="s">
        <v>1215</v>
      </c>
      <c r="G1445" s="146"/>
      <c r="H1445" s="146"/>
      <c r="I1445" s="146">
        <v>1</v>
      </c>
      <c r="J1445" s="146">
        <f>SUM(J1446:J1448)</f>
        <v>181.25</v>
      </c>
      <c r="K1445" s="146">
        <f>SUM(K1446:K1448)</f>
        <v>43.83</v>
      </c>
      <c r="L1445" s="146">
        <f>J1445+K1445</f>
        <v>225.07999999999998</v>
      </c>
      <c r="M1445" s="146">
        <f>I1445*J1445</f>
        <v>181.25</v>
      </c>
      <c r="N1445" s="146">
        <f>I1445*K1445</f>
        <v>43.83</v>
      </c>
      <c r="O1445" s="146">
        <f>M1445+N1445</f>
        <v>225.07999999999998</v>
      </c>
      <c r="P1445" s="146">
        <f>O1445*$P$1</f>
        <v>57.755527999999998</v>
      </c>
      <c r="Q1445" s="146">
        <f>P1445+O1445</f>
        <v>282.83552799999995</v>
      </c>
    </row>
    <row r="1446" spans="1:18" x14ac:dyDescent="0.25">
      <c r="A1446" s="133" t="s">
        <v>22</v>
      </c>
      <c r="B1446" s="89"/>
      <c r="C1446" s="89">
        <v>88247</v>
      </c>
      <c r="D1446" s="89"/>
      <c r="E1446" s="105" t="s">
        <v>599</v>
      </c>
      <c r="F1446" s="89" t="s">
        <v>29</v>
      </c>
      <c r="G1446" s="91">
        <v>1</v>
      </c>
      <c r="H1446" s="91">
        <f>H825</f>
        <v>19.100000000000001</v>
      </c>
      <c r="I1446" s="117" t="s">
        <v>1193</v>
      </c>
      <c r="J1446" s="91"/>
      <c r="K1446" s="91">
        <f>ROUND(G1446*H1446,2)</f>
        <v>19.100000000000001</v>
      </c>
      <c r="L1446" s="91"/>
      <c r="M1446" s="91"/>
      <c r="N1446" s="91"/>
      <c r="O1446" s="91"/>
      <c r="P1446" s="91"/>
      <c r="Q1446" s="91"/>
      <c r="R1446" s="25"/>
    </row>
    <row r="1447" spans="1:18" x14ac:dyDescent="0.25">
      <c r="A1447" s="134" t="s">
        <v>22</v>
      </c>
      <c r="B1447" s="92"/>
      <c r="C1447" s="92">
        <v>88264</v>
      </c>
      <c r="D1447" s="92"/>
      <c r="E1447" s="93" t="s">
        <v>594</v>
      </c>
      <c r="F1447" s="92" t="s">
        <v>29</v>
      </c>
      <c r="G1447" s="94">
        <v>1</v>
      </c>
      <c r="H1447" s="94">
        <f>H826</f>
        <v>24.73</v>
      </c>
      <c r="I1447" s="116" t="s">
        <v>1193</v>
      </c>
      <c r="J1447" s="94"/>
      <c r="K1447" s="94">
        <f>ROUND(G1447*H1447,2)</f>
        <v>24.73</v>
      </c>
      <c r="L1447" s="94"/>
      <c r="M1447" s="94"/>
      <c r="N1447" s="94"/>
      <c r="O1447" s="94"/>
      <c r="P1447" s="94"/>
      <c r="Q1447" s="94"/>
      <c r="R1447" s="25"/>
    </row>
    <row r="1448" spans="1:18" ht="30" x14ac:dyDescent="0.25">
      <c r="A1448" s="252" t="s">
        <v>877</v>
      </c>
      <c r="B1448" s="89"/>
      <c r="C1448" s="89"/>
      <c r="D1448" s="89"/>
      <c r="E1448" s="100" t="str">
        <f>E1445</f>
        <v>luminária 4x16W com refletor, com aletas ou sem aletas parabólicas, de  embutir ou sobrepor</v>
      </c>
      <c r="F1448" s="89" t="s">
        <v>1215</v>
      </c>
      <c r="G1448" s="91">
        <v>1</v>
      </c>
      <c r="H1448" s="342">
        <f>'MAPA COTAÇÕES ELÉTRICA'!L47</f>
        <v>181.25</v>
      </c>
      <c r="I1448" s="253" t="s">
        <v>1193</v>
      </c>
      <c r="J1448" s="193">
        <f>ROUND(H1448*G1448,2)</f>
        <v>181.25</v>
      </c>
      <c r="K1448" s="193"/>
      <c r="L1448" s="193"/>
      <c r="M1448" s="193"/>
      <c r="N1448" s="193"/>
      <c r="O1448" s="193"/>
      <c r="P1448" s="193"/>
      <c r="Q1448" s="193"/>
      <c r="R1448" s="25"/>
    </row>
    <row r="1449" spans="1:18" x14ac:dyDescent="0.25">
      <c r="A1449" s="163"/>
      <c r="B1449" s="101"/>
      <c r="C1449" s="101"/>
      <c r="D1449" s="101"/>
      <c r="E1449" s="102"/>
      <c r="F1449" s="101"/>
      <c r="G1449" s="96"/>
      <c r="H1449" s="96"/>
      <c r="I1449" s="169" t="s">
        <v>1193</v>
      </c>
      <c r="J1449" s="96"/>
      <c r="K1449" s="96"/>
      <c r="L1449" s="96"/>
      <c r="M1449" s="96"/>
      <c r="N1449" s="96"/>
      <c r="O1449" s="96"/>
      <c r="P1449" s="96"/>
      <c r="Q1449" s="96"/>
      <c r="R1449" s="25"/>
    </row>
    <row r="1450" spans="1:18" s="25" customFormat="1" x14ac:dyDescent="0.25">
      <c r="A1450" s="149"/>
      <c r="B1450" s="148"/>
      <c r="C1450" s="148"/>
      <c r="D1450" s="143" t="s">
        <v>1115</v>
      </c>
      <c r="E1450" s="144" t="s">
        <v>1118</v>
      </c>
      <c r="F1450" s="143" t="s">
        <v>1215</v>
      </c>
      <c r="G1450" s="146"/>
      <c r="H1450" s="146"/>
      <c r="I1450" s="146">
        <v>1</v>
      </c>
      <c r="J1450" s="146">
        <f>SUM(J1451:J1453)</f>
        <v>139.77000000000001</v>
      </c>
      <c r="K1450" s="146">
        <f>SUM(K1451:K1453)</f>
        <v>56.98</v>
      </c>
      <c r="L1450" s="146">
        <f>J1450+K1450</f>
        <v>196.75</v>
      </c>
      <c r="M1450" s="146">
        <f>I1450*J1450</f>
        <v>139.77000000000001</v>
      </c>
      <c r="N1450" s="146">
        <f>I1450*K1450</f>
        <v>56.98</v>
      </c>
      <c r="O1450" s="146">
        <f>M1450+N1450</f>
        <v>196.75</v>
      </c>
      <c r="P1450" s="146">
        <f>O1450*$P$1</f>
        <v>50.486049999999999</v>
      </c>
      <c r="Q1450" s="146">
        <f>P1450+O1450</f>
        <v>247.23605000000001</v>
      </c>
    </row>
    <row r="1451" spans="1:18" x14ac:dyDescent="0.25">
      <c r="A1451" s="134" t="s">
        <v>22</v>
      </c>
      <c r="B1451" s="92"/>
      <c r="C1451" s="92">
        <v>88247</v>
      </c>
      <c r="D1451" s="92"/>
      <c r="E1451" s="107" t="s">
        <v>599</v>
      </c>
      <c r="F1451" s="92" t="s">
        <v>29</v>
      </c>
      <c r="G1451" s="94">
        <v>1.3</v>
      </c>
      <c r="H1451" s="94">
        <f>H825</f>
        <v>19.100000000000001</v>
      </c>
      <c r="I1451" s="116" t="s">
        <v>1193</v>
      </c>
      <c r="J1451" s="94"/>
      <c r="K1451" s="94">
        <f>ROUND(G1451*H1451,2)</f>
        <v>24.83</v>
      </c>
      <c r="L1451" s="94"/>
      <c r="M1451" s="94"/>
      <c r="N1451" s="94"/>
      <c r="O1451" s="94"/>
      <c r="P1451" s="94"/>
      <c r="Q1451" s="94"/>
      <c r="R1451" s="25"/>
    </row>
    <row r="1452" spans="1:18" x14ac:dyDescent="0.25">
      <c r="A1452" s="133" t="s">
        <v>22</v>
      </c>
      <c r="B1452" s="89"/>
      <c r="C1452" s="89">
        <v>88264</v>
      </c>
      <c r="D1452" s="89"/>
      <c r="E1452" s="90" t="s">
        <v>594</v>
      </c>
      <c r="F1452" s="89" t="s">
        <v>29</v>
      </c>
      <c r="G1452" s="91">
        <v>1.3</v>
      </c>
      <c r="H1452" s="91">
        <f>H826</f>
        <v>24.73</v>
      </c>
      <c r="I1452" s="117" t="s">
        <v>1193</v>
      </c>
      <c r="J1452" s="91"/>
      <c r="K1452" s="91">
        <f>ROUND(G1452*H1452,2)</f>
        <v>32.15</v>
      </c>
      <c r="L1452" s="91"/>
      <c r="M1452" s="91"/>
      <c r="N1452" s="91"/>
      <c r="O1452" s="91"/>
      <c r="P1452" s="91"/>
      <c r="Q1452" s="91"/>
      <c r="R1452" s="25"/>
    </row>
    <row r="1453" spans="1:18" x14ac:dyDescent="0.25">
      <c r="A1453" s="134" t="s">
        <v>22</v>
      </c>
      <c r="B1453" s="92"/>
      <c r="C1453" s="92">
        <v>39510</v>
      </c>
      <c r="D1453" s="92"/>
      <c r="E1453" s="95" t="str">
        <f>E1450</f>
        <v>luminária 2x32W com refletor, com ou  sem  aletas parabólicas, embutir ou sobrepor</v>
      </c>
      <c r="F1453" s="92" t="s">
        <v>1215</v>
      </c>
      <c r="G1453" s="94">
        <v>1</v>
      </c>
      <c r="H1453" s="94">
        <v>139.77000000000001</v>
      </c>
      <c r="I1453" s="116" t="s">
        <v>1193</v>
      </c>
      <c r="J1453" s="94">
        <f>ROUND(H1453*G1453,2)</f>
        <v>139.77000000000001</v>
      </c>
      <c r="K1453" s="94"/>
      <c r="L1453" s="94"/>
      <c r="M1453" s="94"/>
      <c r="N1453" s="94"/>
      <c r="O1453" s="94"/>
      <c r="P1453" s="94"/>
      <c r="Q1453" s="94"/>
      <c r="R1453" s="25"/>
    </row>
    <row r="1454" spans="1:18" x14ac:dyDescent="0.25">
      <c r="A1454" s="159"/>
      <c r="B1454" s="160"/>
      <c r="C1454" s="160"/>
      <c r="D1454" s="160"/>
      <c r="E1454" s="161"/>
      <c r="F1454" s="160"/>
      <c r="G1454" s="162"/>
      <c r="H1454" s="162"/>
      <c r="I1454" s="170" t="s">
        <v>1193</v>
      </c>
      <c r="J1454" s="162"/>
      <c r="K1454" s="162"/>
      <c r="L1454" s="162"/>
      <c r="M1454" s="162"/>
      <c r="N1454" s="162"/>
      <c r="O1454" s="162"/>
      <c r="P1454" s="162"/>
      <c r="Q1454" s="162"/>
      <c r="R1454" s="25"/>
    </row>
    <row r="1455" spans="1:18" s="25" customFormat="1" x14ac:dyDescent="0.25">
      <c r="A1455" s="149"/>
      <c r="B1455" s="148"/>
      <c r="C1455" s="148"/>
      <c r="D1455" s="143" t="s">
        <v>1161</v>
      </c>
      <c r="E1455" s="144" t="s">
        <v>1120</v>
      </c>
      <c r="F1455" s="143" t="s">
        <v>1215</v>
      </c>
      <c r="G1455" s="146"/>
      <c r="H1455" s="146"/>
      <c r="I1455" s="146">
        <v>1</v>
      </c>
      <c r="J1455" s="146">
        <f>SUM(J1456:J1458)</f>
        <v>21.19</v>
      </c>
      <c r="K1455" s="146">
        <f>SUM(K1456:K1458)</f>
        <v>8.77</v>
      </c>
      <c r="L1455" s="146">
        <f>J1455+K1455</f>
        <v>29.96</v>
      </c>
      <c r="M1455" s="146">
        <f>I1455*J1455</f>
        <v>21.19</v>
      </c>
      <c r="N1455" s="146">
        <f>I1455*K1455</f>
        <v>8.77</v>
      </c>
      <c r="O1455" s="146">
        <f>M1455+N1455</f>
        <v>29.96</v>
      </c>
      <c r="P1455" s="146">
        <f>O1455*$P$1</f>
        <v>7.6877360000000001</v>
      </c>
      <c r="Q1455" s="146">
        <f>P1455+O1455</f>
        <v>37.647736000000002</v>
      </c>
    </row>
    <row r="1456" spans="1:18" x14ac:dyDescent="0.25">
      <c r="A1456" s="133" t="s">
        <v>22</v>
      </c>
      <c r="B1456" s="89"/>
      <c r="C1456" s="89">
        <v>88247</v>
      </c>
      <c r="D1456" s="89"/>
      <c r="E1456" s="105" t="s">
        <v>599</v>
      </c>
      <c r="F1456" s="89" t="s">
        <v>29</v>
      </c>
      <c r="G1456" s="91">
        <v>0.2</v>
      </c>
      <c r="H1456" s="91">
        <f>H825</f>
        <v>19.100000000000001</v>
      </c>
      <c r="I1456" s="117" t="s">
        <v>1193</v>
      </c>
      <c r="J1456" s="91"/>
      <c r="K1456" s="91">
        <f>ROUND(G1456*H1456,2)</f>
        <v>3.82</v>
      </c>
      <c r="L1456" s="91"/>
      <c r="M1456" s="91"/>
      <c r="N1456" s="91"/>
      <c r="O1456" s="91"/>
      <c r="P1456" s="91"/>
      <c r="Q1456" s="91"/>
      <c r="R1456" s="25"/>
    </row>
    <row r="1457" spans="1:18" x14ac:dyDescent="0.25">
      <c r="A1457" s="134" t="s">
        <v>22</v>
      </c>
      <c r="B1457" s="92"/>
      <c r="C1457" s="92">
        <v>88264</v>
      </c>
      <c r="D1457" s="92"/>
      <c r="E1457" s="93" t="s">
        <v>594</v>
      </c>
      <c r="F1457" s="92" t="s">
        <v>29</v>
      </c>
      <c r="G1457" s="94">
        <v>0.2</v>
      </c>
      <c r="H1457" s="94">
        <f>H826</f>
        <v>24.73</v>
      </c>
      <c r="I1457" s="116" t="s">
        <v>1193</v>
      </c>
      <c r="J1457" s="94"/>
      <c r="K1457" s="94">
        <f>ROUND(G1457*H1457,2)</f>
        <v>4.95</v>
      </c>
      <c r="L1457" s="94"/>
      <c r="M1457" s="94"/>
      <c r="N1457" s="94"/>
      <c r="O1457" s="94"/>
      <c r="P1457" s="94"/>
      <c r="Q1457" s="94"/>
      <c r="R1457" s="25"/>
    </row>
    <row r="1458" spans="1:18" x14ac:dyDescent="0.25">
      <c r="A1458" s="133" t="s">
        <v>22</v>
      </c>
      <c r="B1458" s="89"/>
      <c r="C1458" s="89">
        <v>12239</v>
      </c>
      <c r="D1458" s="89"/>
      <c r="E1458" s="90" t="str">
        <f>E1455</f>
        <v xml:space="preserve">luminária tipo calha 2x32W </v>
      </c>
      <c r="F1458" s="89" t="s">
        <v>1215</v>
      </c>
      <c r="G1458" s="91">
        <v>1</v>
      </c>
      <c r="H1458" s="91">
        <v>21.19</v>
      </c>
      <c r="I1458" s="117" t="s">
        <v>1193</v>
      </c>
      <c r="J1458" s="91">
        <f>ROUND(H1458*G1458,2)</f>
        <v>21.19</v>
      </c>
      <c r="K1458" s="91"/>
      <c r="L1458" s="91"/>
      <c r="M1458" s="91"/>
      <c r="N1458" s="91"/>
      <c r="O1458" s="91"/>
      <c r="P1458" s="91"/>
      <c r="Q1458" s="91"/>
      <c r="R1458" s="25"/>
    </row>
    <row r="1459" spans="1:18" x14ac:dyDescent="0.25">
      <c r="A1459" s="163"/>
      <c r="B1459" s="101"/>
      <c r="C1459" s="101"/>
      <c r="D1459" s="101"/>
      <c r="E1459" s="102"/>
      <c r="F1459" s="101"/>
      <c r="G1459" s="96"/>
      <c r="H1459" s="96"/>
      <c r="I1459" s="169" t="s">
        <v>1193</v>
      </c>
      <c r="J1459" s="96"/>
      <c r="K1459" s="96"/>
      <c r="L1459" s="96"/>
      <c r="M1459" s="96"/>
      <c r="N1459" s="96"/>
      <c r="O1459" s="96"/>
      <c r="P1459" s="96"/>
      <c r="Q1459" s="96"/>
      <c r="R1459" s="25"/>
    </row>
    <row r="1460" spans="1:18" s="25" customFormat="1" x14ac:dyDescent="0.25">
      <c r="A1460" s="149"/>
      <c r="B1460" s="148"/>
      <c r="C1460" s="148"/>
      <c r="D1460" s="143" t="s">
        <v>1117</v>
      </c>
      <c r="E1460" s="144" t="s">
        <v>1122</v>
      </c>
      <c r="F1460" s="143" t="s">
        <v>1215</v>
      </c>
      <c r="G1460" s="146"/>
      <c r="H1460" s="146"/>
      <c r="I1460" s="146">
        <v>1</v>
      </c>
      <c r="J1460" s="146">
        <f>SUM(J1461:J1463)</f>
        <v>37.92</v>
      </c>
      <c r="K1460" s="146">
        <f>SUM(K1461:K1463)</f>
        <v>13.15</v>
      </c>
      <c r="L1460" s="146">
        <f>J1460+K1460</f>
        <v>51.07</v>
      </c>
      <c r="M1460" s="146">
        <f>I1460*J1460</f>
        <v>37.92</v>
      </c>
      <c r="N1460" s="146">
        <f>I1460*K1460</f>
        <v>13.15</v>
      </c>
      <c r="O1460" s="146">
        <f>M1460+N1460</f>
        <v>51.07</v>
      </c>
      <c r="P1460" s="146">
        <f>O1460*$P$1</f>
        <v>13.104562</v>
      </c>
      <c r="Q1460" s="146">
        <f>P1460+O1460</f>
        <v>64.174561999999995</v>
      </c>
    </row>
    <row r="1461" spans="1:18" x14ac:dyDescent="0.25">
      <c r="A1461" s="134" t="s">
        <v>22</v>
      </c>
      <c r="B1461" s="92"/>
      <c r="C1461" s="92">
        <v>88247</v>
      </c>
      <c r="D1461" s="92"/>
      <c r="E1461" s="107" t="s">
        <v>599</v>
      </c>
      <c r="F1461" s="92" t="s">
        <v>29</v>
      </c>
      <c r="G1461" s="94">
        <v>0.3</v>
      </c>
      <c r="H1461" s="94">
        <f>H825</f>
        <v>19.100000000000001</v>
      </c>
      <c r="I1461" s="116" t="s">
        <v>1193</v>
      </c>
      <c r="J1461" s="94"/>
      <c r="K1461" s="94">
        <f>ROUND(G1461*H1461,2)</f>
        <v>5.73</v>
      </c>
      <c r="L1461" s="94"/>
      <c r="M1461" s="94"/>
      <c r="N1461" s="94"/>
      <c r="O1461" s="94"/>
      <c r="P1461" s="94"/>
      <c r="Q1461" s="94"/>
      <c r="R1461" s="25"/>
    </row>
    <row r="1462" spans="1:18" x14ac:dyDescent="0.25">
      <c r="A1462" s="133" t="s">
        <v>22</v>
      </c>
      <c r="B1462" s="89"/>
      <c r="C1462" s="89">
        <v>88264</v>
      </c>
      <c r="D1462" s="89"/>
      <c r="E1462" s="90" t="s">
        <v>594</v>
      </c>
      <c r="F1462" s="89" t="s">
        <v>29</v>
      </c>
      <c r="G1462" s="91">
        <v>0.3</v>
      </c>
      <c r="H1462" s="91">
        <f>H826</f>
        <v>24.73</v>
      </c>
      <c r="I1462" s="117" t="s">
        <v>1193</v>
      </c>
      <c r="J1462" s="91"/>
      <c r="K1462" s="91">
        <f>ROUND(G1462*H1462,2)</f>
        <v>7.42</v>
      </c>
      <c r="L1462" s="91"/>
      <c r="M1462" s="91"/>
      <c r="N1462" s="91"/>
      <c r="O1462" s="91"/>
      <c r="P1462" s="91"/>
      <c r="Q1462" s="91"/>
      <c r="R1462" s="25"/>
    </row>
    <row r="1463" spans="1:18" x14ac:dyDescent="0.25">
      <c r="A1463" s="134" t="s">
        <v>22</v>
      </c>
      <c r="B1463" s="92"/>
      <c r="C1463" s="92">
        <v>38770</v>
      </c>
      <c r="D1463" s="92"/>
      <c r="E1463" s="95" t="str">
        <f>E1460</f>
        <v>luminária de sobrepor ou embutir, redonda, vidro temperado, com 2 bocais E27.</v>
      </c>
      <c r="F1463" s="92" t="s">
        <v>1215</v>
      </c>
      <c r="G1463" s="94">
        <v>1</v>
      </c>
      <c r="H1463" s="94">
        <v>37.92</v>
      </c>
      <c r="I1463" s="116" t="s">
        <v>1193</v>
      </c>
      <c r="J1463" s="94">
        <f>ROUND(H1463*G1463,2)</f>
        <v>37.92</v>
      </c>
      <c r="K1463" s="94"/>
      <c r="L1463" s="94"/>
      <c r="M1463" s="94"/>
      <c r="N1463" s="94"/>
      <c r="O1463" s="94"/>
      <c r="P1463" s="94"/>
      <c r="Q1463" s="94"/>
      <c r="R1463" s="25"/>
    </row>
    <row r="1464" spans="1:18" x14ac:dyDescent="0.25">
      <c r="A1464" s="159"/>
      <c r="B1464" s="160"/>
      <c r="C1464" s="160"/>
      <c r="D1464" s="160"/>
      <c r="E1464" s="161"/>
      <c r="F1464" s="160"/>
      <c r="G1464" s="162"/>
      <c r="H1464" s="162"/>
      <c r="I1464" s="170" t="s">
        <v>1193</v>
      </c>
      <c r="J1464" s="162"/>
      <c r="K1464" s="162"/>
      <c r="L1464" s="162"/>
      <c r="M1464" s="162"/>
      <c r="N1464" s="162"/>
      <c r="O1464" s="162"/>
      <c r="P1464" s="162"/>
      <c r="Q1464" s="162"/>
      <c r="R1464" s="25"/>
    </row>
    <row r="1465" spans="1:18" s="25" customFormat="1" x14ac:dyDescent="0.25">
      <c r="A1465" s="149"/>
      <c r="B1465" s="148"/>
      <c r="C1465" s="148"/>
      <c r="D1465" s="143" t="s">
        <v>1119</v>
      </c>
      <c r="E1465" s="144" t="s">
        <v>1123</v>
      </c>
      <c r="F1465" s="143" t="s">
        <v>1215</v>
      </c>
      <c r="G1465" s="146"/>
      <c r="H1465" s="146"/>
      <c r="I1465" s="146">
        <v>1</v>
      </c>
      <c r="J1465" s="146">
        <f>SUM(J1466:J1468)</f>
        <v>42.75</v>
      </c>
      <c r="K1465" s="146">
        <f>SUM(K1466:K1468)</f>
        <v>13.15</v>
      </c>
      <c r="L1465" s="146">
        <f>J1465+K1465</f>
        <v>55.9</v>
      </c>
      <c r="M1465" s="146">
        <f>I1465*J1465</f>
        <v>42.75</v>
      </c>
      <c r="N1465" s="146">
        <f>I1465*K1465</f>
        <v>13.15</v>
      </c>
      <c r="O1465" s="146">
        <f>M1465+N1465</f>
        <v>55.9</v>
      </c>
      <c r="P1465" s="146">
        <f>O1465*$P$1</f>
        <v>14.34394</v>
      </c>
      <c r="Q1465" s="146">
        <f>P1465+O1465</f>
        <v>70.243939999999995</v>
      </c>
    </row>
    <row r="1466" spans="1:18" x14ac:dyDescent="0.25">
      <c r="A1466" s="133" t="s">
        <v>22</v>
      </c>
      <c r="B1466" s="89"/>
      <c r="C1466" s="89">
        <v>88247</v>
      </c>
      <c r="D1466" s="89"/>
      <c r="E1466" s="105" t="s">
        <v>599</v>
      </c>
      <c r="F1466" s="89" t="s">
        <v>29</v>
      </c>
      <c r="G1466" s="91">
        <v>0.3</v>
      </c>
      <c r="H1466" s="91">
        <f>H825</f>
        <v>19.100000000000001</v>
      </c>
      <c r="I1466" s="117" t="s">
        <v>1193</v>
      </c>
      <c r="J1466" s="91"/>
      <c r="K1466" s="91">
        <f>ROUND(G1466*H1466,2)</f>
        <v>5.73</v>
      </c>
      <c r="L1466" s="91"/>
      <c r="M1466" s="91"/>
      <c r="N1466" s="91"/>
      <c r="O1466" s="91"/>
      <c r="P1466" s="91"/>
      <c r="Q1466" s="91"/>
      <c r="R1466" s="25"/>
    </row>
    <row r="1467" spans="1:18" x14ac:dyDescent="0.25">
      <c r="A1467" s="134" t="s">
        <v>22</v>
      </c>
      <c r="B1467" s="92"/>
      <c r="C1467" s="92">
        <v>88264</v>
      </c>
      <c r="D1467" s="92"/>
      <c r="E1467" s="93" t="s">
        <v>594</v>
      </c>
      <c r="F1467" s="92" t="s">
        <v>29</v>
      </c>
      <c r="G1467" s="94">
        <v>0.3</v>
      </c>
      <c r="H1467" s="94">
        <f>H826</f>
        <v>24.73</v>
      </c>
      <c r="I1467" s="116" t="s">
        <v>1193</v>
      </c>
      <c r="J1467" s="94"/>
      <c r="K1467" s="94">
        <f>ROUND(G1467*H1467,2)</f>
        <v>7.42</v>
      </c>
      <c r="L1467" s="94"/>
      <c r="M1467" s="94"/>
      <c r="N1467" s="94"/>
      <c r="O1467" s="94"/>
      <c r="P1467" s="94"/>
      <c r="Q1467" s="94"/>
      <c r="R1467" s="25"/>
    </row>
    <row r="1468" spans="1:18" x14ac:dyDescent="0.25">
      <c r="A1468" s="133" t="s">
        <v>22</v>
      </c>
      <c r="B1468" s="89"/>
      <c r="C1468" s="89">
        <v>38775</v>
      </c>
      <c r="D1468" s="89"/>
      <c r="E1468" s="90" t="str">
        <f>E1465</f>
        <v>Luminária tipo tartaruga, em alumínio, vidro, branca</v>
      </c>
      <c r="F1468" s="89" t="s">
        <v>1215</v>
      </c>
      <c r="G1468" s="91">
        <v>1</v>
      </c>
      <c r="H1468" s="91">
        <v>42.75</v>
      </c>
      <c r="I1468" s="117" t="s">
        <v>1193</v>
      </c>
      <c r="J1468" s="91">
        <f>ROUND(H1468*G1468,2)</f>
        <v>42.75</v>
      </c>
      <c r="K1468" s="91"/>
      <c r="L1468" s="91"/>
      <c r="M1468" s="91"/>
      <c r="N1468" s="91"/>
      <c r="O1468" s="91"/>
      <c r="P1468" s="91"/>
      <c r="Q1468" s="91"/>
      <c r="R1468" s="25"/>
    </row>
    <row r="1469" spans="1:18" x14ac:dyDescent="0.25">
      <c r="A1469" s="163"/>
      <c r="B1469" s="101"/>
      <c r="C1469" s="101"/>
      <c r="D1469" s="101"/>
      <c r="E1469" s="102"/>
      <c r="F1469" s="101"/>
      <c r="G1469" s="96"/>
      <c r="H1469" s="96"/>
      <c r="I1469" s="169" t="s">
        <v>1193</v>
      </c>
      <c r="J1469" s="96"/>
      <c r="K1469" s="96"/>
      <c r="L1469" s="96"/>
      <c r="M1469" s="96"/>
      <c r="N1469" s="96"/>
      <c r="O1469" s="96"/>
      <c r="P1469" s="96"/>
      <c r="Q1469" s="96"/>
      <c r="R1469" s="25"/>
    </row>
    <row r="1470" spans="1:18" s="25" customFormat="1" ht="30" x14ac:dyDescent="0.25">
      <c r="A1470" s="149" t="s">
        <v>22</v>
      </c>
      <c r="B1470" s="148"/>
      <c r="C1470" s="148">
        <v>97599</v>
      </c>
      <c r="D1470" s="143" t="s">
        <v>1121</v>
      </c>
      <c r="E1470" s="144" t="s">
        <v>1124</v>
      </c>
      <c r="F1470" s="143" t="s">
        <v>1215</v>
      </c>
      <c r="G1470" s="146"/>
      <c r="H1470" s="146"/>
      <c r="I1470" s="146">
        <v>1</v>
      </c>
      <c r="J1470" s="146">
        <f>SUM(J1471:J1473)</f>
        <v>22.73</v>
      </c>
      <c r="K1470" s="146">
        <f>SUM(K1471:K1473)</f>
        <v>5.87</v>
      </c>
      <c r="L1470" s="146">
        <f>J1470+K1470</f>
        <v>28.6</v>
      </c>
      <c r="M1470" s="146">
        <f>I1470*J1470</f>
        <v>22.73</v>
      </c>
      <c r="N1470" s="146">
        <f>I1470*K1470</f>
        <v>5.87</v>
      </c>
      <c r="O1470" s="146">
        <f>M1470+N1470</f>
        <v>28.6</v>
      </c>
      <c r="P1470" s="146">
        <f>O1470*$P$1</f>
        <v>7.3387600000000006</v>
      </c>
      <c r="Q1470" s="146">
        <f>P1470+O1470</f>
        <v>35.938760000000002</v>
      </c>
    </row>
    <row r="1471" spans="1:18" x14ac:dyDescent="0.25">
      <c r="A1471" s="134" t="s">
        <v>22</v>
      </c>
      <c r="B1471" s="92"/>
      <c r="C1471" s="92">
        <v>88247</v>
      </c>
      <c r="D1471" s="92"/>
      <c r="E1471" s="107" t="s">
        <v>599</v>
      </c>
      <c r="F1471" s="92" t="s">
        <v>29</v>
      </c>
      <c r="G1471" s="108">
        <v>7.4800000000000005E-2</v>
      </c>
      <c r="H1471" s="94">
        <f>H825</f>
        <v>19.100000000000001</v>
      </c>
      <c r="I1471" s="116" t="s">
        <v>1193</v>
      </c>
      <c r="J1471" s="94"/>
      <c r="K1471" s="94">
        <f>ROUND(G1471*H1471,2)</f>
        <v>1.43</v>
      </c>
      <c r="L1471" s="94"/>
      <c r="M1471" s="94"/>
      <c r="N1471" s="94"/>
      <c r="O1471" s="94"/>
      <c r="P1471" s="94"/>
      <c r="Q1471" s="94"/>
      <c r="R1471" s="25"/>
    </row>
    <row r="1472" spans="1:18" x14ac:dyDescent="0.25">
      <c r="A1472" s="133" t="s">
        <v>22</v>
      </c>
      <c r="B1472" s="89"/>
      <c r="C1472" s="89">
        <v>88264</v>
      </c>
      <c r="D1472" s="89"/>
      <c r="E1472" s="90" t="s">
        <v>594</v>
      </c>
      <c r="F1472" s="89" t="s">
        <v>29</v>
      </c>
      <c r="G1472" s="109">
        <v>0.17949999999999999</v>
      </c>
      <c r="H1472" s="91">
        <f>H826</f>
        <v>24.73</v>
      </c>
      <c r="I1472" s="117" t="s">
        <v>1193</v>
      </c>
      <c r="J1472" s="91"/>
      <c r="K1472" s="91">
        <f>ROUND(G1472*H1472,2)</f>
        <v>4.4400000000000004</v>
      </c>
      <c r="L1472" s="91"/>
      <c r="M1472" s="91"/>
      <c r="N1472" s="91"/>
      <c r="O1472" s="91"/>
      <c r="P1472" s="91"/>
      <c r="Q1472" s="91"/>
      <c r="R1472" s="25"/>
    </row>
    <row r="1473" spans="1:18" ht="30" x14ac:dyDescent="0.25">
      <c r="A1473" s="134" t="s">
        <v>22</v>
      </c>
      <c r="B1473" s="92"/>
      <c r="C1473" s="92">
        <v>38774</v>
      </c>
      <c r="D1473" s="92"/>
      <c r="E1473" s="95" t="str">
        <f>E1470</f>
        <v>Luminária autônoma de emergência, com 30 LEDs, tensão alim. 127/220V. Com fixação por parafusos na lateral, Fab. FLC mod. 04 Horas Acesa ou equivalente</v>
      </c>
      <c r="F1473" s="92" t="s">
        <v>1215</v>
      </c>
      <c r="G1473" s="94">
        <v>1</v>
      </c>
      <c r="H1473" s="94">
        <v>22.73</v>
      </c>
      <c r="I1473" s="116" t="s">
        <v>1193</v>
      </c>
      <c r="J1473" s="94">
        <f>ROUND(H1473*G1473,2)</f>
        <v>22.73</v>
      </c>
      <c r="K1473" s="94"/>
      <c r="L1473" s="94"/>
      <c r="M1473" s="94"/>
      <c r="N1473" s="94"/>
      <c r="O1473" s="94"/>
      <c r="P1473" s="94"/>
      <c r="Q1473" s="94"/>
      <c r="R1473" s="25"/>
    </row>
    <row r="1474" spans="1:18" x14ac:dyDescent="0.25">
      <c r="A1474" s="159"/>
      <c r="B1474" s="160"/>
      <c r="C1474" s="160"/>
      <c r="D1474" s="160"/>
      <c r="E1474" s="161"/>
      <c r="F1474" s="160"/>
      <c r="G1474" s="162"/>
      <c r="H1474" s="162"/>
      <c r="I1474" s="170" t="s">
        <v>1193</v>
      </c>
      <c r="J1474" s="162"/>
      <c r="K1474" s="162"/>
      <c r="L1474" s="162"/>
      <c r="M1474" s="162"/>
      <c r="N1474" s="162"/>
      <c r="O1474" s="162"/>
      <c r="P1474" s="162"/>
      <c r="Q1474" s="162"/>
      <c r="R1474" s="25"/>
    </row>
    <row r="1475" spans="1:18" s="25" customFormat="1" ht="15.75" x14ac:dyDescent="0.25">
      <c r="A1475" s="136"/>
      <c r="B1475" s="97"/>
      <c r="C1475" s="97"/>
      <c r="D1475" s="97">
        <v>23</v>
      </c>
      <c r="E1475" s="98" t="s">
        <v>1125</v>
      </c>
      <c r="F1475" s="97"/>
      <c r="G1475" s="97"/>
      <c r="H1475" s="330"/>
      <c r="I1475" s="97" t="s">
        <v>1193</v>
      </c>
      <c r="J1475" s="330"/>
      <c r="K1475" s="330"/>
      <c r="L1475" s="330"/>
      <c r="M1475" s="330"/>
      <c r="N1475" s="330"/>
      <c r="O1475" s="330"/>
      <c r="P1475" s="330"/>
      <c r="Q1475" s="330">
        <f>SUM(Q1477:Q1524)</f>
        <v>5578.9757341933318</v>
      </c>
    </row>
    <row r="1476" spans="1:18" ht="15.75" x14ac:dyDescent="0.25">
      <c r="A1476" s="174"/>
      <c r="B1476" s="175"/>
      <c r="C1476" s="175"/>
      <c r="D1476" s="175"/>
      <c r="E1476" s="176"/>
      <c r="F1476" s="175"/>
      <c r="G1476" s="175"/>
      <c r="H1476" s="177"/>
      <c r="I1476" s="175" t="s">
        <v>1193</v>
      </c>
      <c r="J1476" s="177"/>
      <c r="K1476" s="177"/>
      <c r="L1476" s="177"/>
      <c r="M1476" s="177"/>
      <c r="N1476" s="177"/>
      <c r="O1476" s="177"/>
      <c r="P1476" s="177"/>
      <c r="Q1476" s="177"/>
      <c r="R1476" s="25"/>
    </row>
    <row r="1477" spans="1:18" s="25" customFormat="1" x14ac:dyDescent="0.25">
      <c r="A1477" s="149"/>
      <c r="B1477" s="148"/>
      <c r="C1477" s="148"/>
      <c r="D1477" s="143" t="s">
        <v>1126</v>
      </c>
      <c r="E1477" s="144" t="s">
        <v>1127</v>
      </c>
      <c r="F1477" s="143" t="s">
        <v>1215</v>
      </c>
      <c r="G1477" s="146"/>
      <c r="H1477" s="146"/>
      <c r="I1477" s="146">
        <v>1</v>
      </c>
      <c r="J1477" s="146">
        <f>SUM(J1478:J1480)</f>
        <v>37.700000000000003</v>
      </c>
      <c r="K1477" s="146">
        <f>SUM(K1478:K1480)</f>
        <v>5.26</v>
      </c>
      <c r="L1477" s="146">
        <f>J1477+K1477</f>
        <v>42.96</v>
      </c>
      <c r="M1477" s="146">
        <f>I1477*J1477</f>
        <v>37.700000000000003</v>
      </c>
      <c r="N1477" s="146">
        <f>I1477*K1477</f>
        <v>5.26</v>
      </c>
      <c r="O1477" s="146">
        <f>M1477+N1477</f>
        <v>42.96</v>
      </c>
      <c r="P1477" s="146">
        <f>O1477*$P$1</f>
        <v>11.023536</v>
      </c>
      <c r="Q1477" s="146">
        <f>P1477+O1477</f>
        <v>53.983536000000001</v>
      </c>
    </row>
    <row r="1478" spans="1:18" x14ac:dyDescent="0.25">
      <c r="A1478" s="133" t="s">
        <v>22</v>
      </c>
      <c r="B1478" s="89"/>
      <c r="C1478" s="89">
        <v>88247</v>
      </c>
      <c r="D1478" s="89"/>
      <c r="E1478" s="105" t="s">
        <v>599</v>
      </c>
      <c r="F1478" s="89" t="s">
        <v>29</v>
      </c>
      <c r="G1478" s="91">
        <v>0.12</v>
      </c>
      <c r="H1478" s="91">
        <f>H825</f>
        <v>19.100000000000001</v>
      </c>
      <c r="I1478" s="117" t="s">
        <v>1193</v>
      </c>
      <c r="J1478" s="91"/>
      <c r="K1478" s="91">
        <f>ROUND(G1478*H1478,2)</f>
        <v>2.29</v>
      </c>
      <c r="L1478" s="91"/>
      <c r="M1478" s="91"/>
      <c r="N1478" s="91"/>
      <c r="O1478" s="91"/>
      <c r="P1478" s="91"/>
      <c r="Q1478" s="91"/>
      <c r="R1478" s="25"/>
    </row>
    <row r="1479" spans="1:18" x14ac:dyDescent="0.25">
      <c r="A1479" s="134" t="s">
        <v>22</v>
      </c>
      <c r="B1479" s="92"/>
      <c r="C1479" s="92">
        <v>88264</v>
      </c>
      <c r="D1479" s="92"/>
      <c r="E1479" s="93" t="s">
        <v>594</v>
      </c>
      <c r="F1479" s="92" t="s">
        <v>29</v>
      </c>
      <c r="G1479" s="94">
        <v>0.12</v>
      </c>
      <c r="H1479" s="94">
        <f>H826</f>
        <v>24.73</v>
      </c>
      <c r="I1479" s="116" t="s">
        <v>1193</v>
      </c>
      <c r="J1479" s="94"/>
      <c r="K1479" s="94">
        <f>ROUND(G1479*H1479,2)</f>
        <v>2.97</v>
      </c>
      <c r="L1479" s="94"/>
      <c r="M1479" s="94"/>
      <c r="N1479" s="94"/>
      <c r="O1479" s="94"/>
      <c r="P1479" s="94"/>
      <c r="Q1479" s="94"/>
      <c r="R1479" s="25"/>
    </row>
    <row r="1480" spans="1:18" x14ac:dyDescent="0.25">
      <c r="A1480" s="133" t="s">
        <v>22</v>
      </c>
      <c r="B1480" s="89"/>
      <c r="C1480" s="89">
        <v>38104</v>
      </c>
      <c r="D1480" s="89"/>
      <c r="E1480" s="100" t="str">
        <f>E1477</f>
        <v>Tomada  Keystone RJ45 categoria 6 - ref furukawa</v>
      </c>
      <c r="F1480" s="89" t="s">
        <v>1215</v>
      </c>
      <c r="G1480" s="91">
        <v>1</v>
      </c>
      <c r="H1480" s="91">
        <v>37.700000000000003</v>
      </c>
      <c r="I1480" s="117" t="s">
        <v>1193</v>
      </c>
      <c r="J1480" s="91">
        <f>ROUND(H1480*G1480,2)</f>
        <v>37.700000000000003</v>
      </c>
      <c r="K1480" s="91"/>
      <c r="L1480" s="91"/>
      <c r="M1480" s="91"/>
      <c r="N1480" s="91"/>
      <c r="O1480" s="91"/>
      <c r="P1480" s="91"/>
      <c r="Q1480" s="91"/>
      <c r="R1480" s="25"/>
    </row>
    <row r="1481" spans="1:18" x14ac:dyDescent="0.25">
      <c r="A1481" s="163"/>
      <c r="B1481" s="101"/>
      <c r="C1481" s="101"/>
      <c r="D1481" s="101"/>
      <c r="E1481" s="102"/>
      <c r="F1481" s="101"/>
      <c r="G1481" s="96"/>
      <c r="H1481" s="96"/>
      <c r="I1481" s="169" t="s">
        <v>1193</v>
      </c>
      <c r="J1481" s="96"/>
      <c r="K1481" s="96"/>
      <c r="L1481" s="96"/>
      <c r="M1481" s="96"/>
      <c r="N1481" s="96"/>
      <c r="O1481" s="96"/>
      <c r="P1481" s="96"/>
      <c r="Q1481" s="96"/>
      <c r="R1481" s="25"/>
    </row>
    <row r="1482" spans="1:18" s="25" customFormat="1" x14ac:dyDescent="0.25">
      <c r="A1482" s="149" t="s">
        <v>22</v>
      </c>
      <c r="B1482" s="148"/>
      <c r="C1482" s="148">
        <v>98296</v>
      </c>
      <c r="D1482" s="143" t="s">
        <v>1128</v>
      </c>
      <c r="E1482" s="144" t="s">
        <v>1129</v>
      </c>
      <c r="F1482" s="143" t="s">
        <v>39</v>
      </c>
      <c r="G1482" s="146"/>
      <c r="H1482" s="146"/>
      <c r="I1482" s="146">
        <v>0.67</v>
      </c>
      <c r="J1482" s="146">
        <f>SUM(J1483:J1485)</f>
        <v>2.5</v>
      </c>
      <c r="K1482" s="146">
        <f>SUM(K1483:K1485)</f>
        <v>1.1299999999999999</v>
      </c>
      <c r="L1482" s="146">
        <f>J1482+K1482</f>
        <v>3.63</v>
      </c>
      <c r="M1482" s="146">
        <f>I1482*J1482</f>
        <v>1.675</v>
      </c>
      <c r="N1482" s="146">
        <f>I1482*K1482</f>
        <v>0.7571</v>
      </c>
      <c r="O1482" s="146">
        <f>M1482+N1482</f>
        <v>2.4321000000000002</v>
      </c>
      <c r="P1482" s="146">
        <f>O1482*$P$1</f>
        <v>0.62407686000000007</v>
      </c>
      <c r="Q1482" s="146">
        <f>P1482+O1482</f>
        <v>3.0561768600000003</v>
      </c>
    </row>
    <row r="1483" spans="1:18" x14ac:dyDescent="0.25">
      <c r="A1483" s="134" t="s">
        <v>22</v>
      </c>
      <c r="B1483" s="92"/>
      <c r="C1483" s="92">
        <v>88247</v>
      </c>
      <c r="D1483" s="92"/>
      <c r="E1483" s="107" t="s">
        <v>599</v>
      </c>
      <c r="F1483" s="92" t="s">
        <v>29</v>
      </c>
      <c r="G1483" s="108">
        <v>2.69E-2</v>
      </c>
      <c r="H1483" s="94">
        <f>H825</f>
        <v>19.100000000000001</v>
      </c>
      <c r="I1483" s="116" t="s">
        <v>1193</v>
      </c>
      <c r="J1483" s="94"/>
      <c r="K1483" s="94">
        <f>ROUND(G1483*H1483,2)</f>
        <v>0.51</v>
      </c>
      <c r="L1483" s="94"/>
      <c r="M1483" s="94"/>
      <c r="N1483" s="94"/>
      <c r="O1483" s="94"/>
      <c r="P1483" s="94"/>
      <c r="Q1483" s="94"/>
      <c r="R1483" s="25"/>
    </row>
    <row r="1484" spans="1:18" x14ac:dyDescent="0.25">
      <c r="A1484" s="133" t="s">
        <v>22</v>
      </c>
      <c r="B1484" s="89"/>
      <c r="C1484" s="89">
        <v>88265</v>
      </c>
      <c r="D1484" s="89"/>
      <c r="E1484" s="90" t="s">
        <v>1130</v>
      </c>
      <c r="F1484" s="89" t="s">
        <v>29</v>
      </c>
      <c r="G1484" s="109">
        <v>2.69E-2</v>
      </c>
      <c r="H1484" s="91">
        <v>22.95</v>
      </c>
      <c r="I1484" s="117" t="s">
        <v>1193</v>
      </c>
      <c r="J1484" s="91"/>
      <c r="K1484" s="91">
        <f>ROUND(G1484*H1484,2)</f>
        <v>0.62</v>
      </c>
      <c r="L1484" s="91"/>
      <c r="M1484" s="91"/>
      <c r="N1484" s="91"/>
      <c r="O1484" s="91"/>
      <c r="P1484" s="91"/>
      <c r="Q1484" s="91"/>
      <c r="R1484" s="25"/>
    </row>
    <row r="1485" spans="1:18" ht="60" x14ac:dyDescent="0.25">
      <c r="A1485" s="134" t="s">
        <v>22</v>
      </c>
      <c r="B1485" s="92"/>
      <c r="C1485" s="92">
        <v>39599</v>
      </c>
      <c r="D1485" s="92"/>
      <c r="E1485" s="95" t="s">
        <v>1131</v>
      </c>
      <c r="F1485" s="92" t="s">
        <v>1215</v>
      </c>
      <c r="G1485" s="94">
        <v>1.05</v>
      </c>
      <c r="H1485" s="94">
        <v>2.38</v>
      </c>
      <c r="I1485" s="116" t="s">
        <v>1193</v>
      </c>
      <c r="J1485" s="94">
        <f>ROUND(H1485*G1485,2)</f>
        <v>2.5</v>
      </c>
      <c r="K1485" s="94"/>
      <c r="L1485" s="94"/>
      <c r="M1485" s="94"/>
      <c r="N1485" s="94"/>
      <c r="O1485" s="94"/>
      <c r="P1485" s="94"/>
      <c r="Q1485" s="94"/>
      <c r="R1485" s="25"/>
    </row>
    <row r="1486" spans="1:18" x14ac:dyDescent="0.25">
      <c r="A1486" s="159"/>
      <c r="B1486" s="160"/>
      <c r="C1486" s="160"/>
      <c r="D1486" s="160"/>
      <c r="E1486" s="161"/>
      <c r="F1486" s="160"/>
      <c r="G1486" s="162"/>
      <c r="H1486" s="162"/>
      <c r="I1486" s="170" t="s">
        <v>1193</v>
      </c>
      <c r="J1486" s="162"/>
      <c r="K1486" s="162"/>
      <c r="L1486" s="162"/>
      <c r="M1486" s="162"/>
      <c r="N1486" s="162"/>
      <c r="O1486" s="162"/>
      <c r="P1486" s="162"/>
      <c r="Q1486" s="162"/>
      <c r="R1486" s="25"/>
    </row>
    <row r="1487" spans="1:18" s="25" customFormat="1" ht="30" x14ac:dyDescent="0.25">
      <c r="A1487" s="149" t="s">
        <v>22</v>
      </c>
      <c r="B1487" s="148"/>
      <c r="C1487" s="148">
        <v>98302</v>
      </c>
      <c r="D1487" s="143" t="s">
        <v>1132</v>
      </c>
      <c r="E1487" s="144" t="s">
        <v>1133</v>
      </c>
      <c r="F1487" s="143" t="s">
        <v>1215</v>
      </c>
      <c r="G1487" s="146"/>
      <c r="H1487" s="146"/>
      <c r="I1487" s="146">
        <v>1</v>
      </c>
      <c r="J1487" s="146">
        <f>SUM(J1488:J1490)</f>
        <v>444.45</v>
      </c>
      <c r="K1487" s="146">
        <f>SUM(K1488:K1490)</f>
        <v>260.70999999999998</v>
      </c>
      <c r="L1487" s="146">
        <f>J1487+K1487</f>
        <v>705.16</v>
      </c>
      <c r="M1487" s="146">
        <f>I1487*J1487</f>
        <v>444.45</v>
      </c>
      <c r="N1487" s="146">
        <f>I1487*K1487</f>
        <v>260.70999999999998</v>
      </c>
      <c r="O1487" s="146">
        <f>M1487+N1487</f>
        <v>705.16</v>
      </c>
      <c r="P1487" s="146">
        <f>O1487*$P$1</f>
        <v>180.94405599999999</v>
      </c>
      <c r="Q1487" s="146">
        <f>P1487+O1487</f>
        <v>886.1040559999999</v>
      </c>
    </row>
    <row r="1488" spans="1:18" x14ac:dyDescent="0.25">
      <c r="A1488" s="133" t="s">
        <v>22</v>
      </c>
      <c r="B1488" s="89"/>
      <c r="C1488" s="89">
        <v>88247</v>
      </c>
      <c r="D1488" s="89"/>
      <c r="E1488" s="105" t="s">
        <v>599</v>
      </c>
      <c r="F1488" s="89" t="s">
        <v>29</v>
      </c>
      <c r="G1488" s="91">
        <v>6.2</v>
      </c>
      <c r="H1488" s="91">
        <f>H825</f>
        <v>19.100000000000001</v>
      </c>
      <c r="I1488" s="117" t="s">
        <v>1193</v>
      </c>
      <c r="J1488" s="91"/>
      <c r="K1488" s="91">
        <f>ROUND(G1488*H1488,2)</f>
        <v>118.42</v>
      </c>
      <c r="L1488" s="91"/>
      <c r="M1488" s="91"/>
      <c r="N1488" s="91"/>
      <c r="O1488" s="91"/>
      <c r="P1488" s="91"/>
      <c r="Q1488" s="91"/>
      <c r="R1488" s="25"/>
    </row>
    <row r="1489" spans="1:18" x14ac:dyDescent="0.25">
      <c r="A1489" s="134" t="s">
        <v>22</v>
      </c>
      <c r="B1489" s="92"/>
      <c r="C1489" s="92">
        <v>88265</v>
      </c>
      <c r="D1489" s="92"/>
      <c r="E1489" s="93" t="s">
        <v>1130</v>
      </c>
      <c r="F1489" s="92" t="s">
        <v>29</v>
      </c>
      <c r="G1489" s="94">
        <v>6.2</v>
      </c>
      <c r="H1489" s="94">
        <v>22.95</v>
      </c>
      <c r="I1489" s="116" t="s">
        <v>1193</v>
      </c>
      <c r="J1489" s="94"/>
      <c r="K1489" s="94">
        <f>ROUND(G1489*H1489,2)</f>
        <v>142.29</v>
      </c>
      <c r="L1489" s="94"/>
      <c r="M1489" s="94"/>
      <c r="N1489" s="94"/>
      <c r="O1489" s="94"/>
      <c r="P1489" s="94"/>
      <c r="Q1489" s="94"/>
      <c r="R1489" s="25"/>
    </row>
    <row r="1490" spans="1:18" ht="30" x14ac:dyDescent="0.25">
      <c r="A1490" s="133" t="s">
        <v>22</v>
      </c>
      <c r="B1490" s="89"/>
      <c r="C1490" s="89">
        <v>39596</v>
      </c>
      <c r="D1490" s="89"/>
      <c r="E1490" s="100" t="str">
        <f>E1487</f>
        <v>Patch-pannel 24 portas RJ-45, padrão 19", cat-6 T568A/B referência Furukawa ou similar.</v>
      </c>
      <c r="F1490" s="89" t="s">
        <v>1215</v>
      </c>
      <c r="G1490" s="91">
        <v>1</v>
      </c>
      <c r="H1490" s="91">
        <v>444.45</v>
      </c>
      <c r="I1490" s="117" t="s">
        <v>1193</v>
      </c>
      <c r="J1490" s="91">
        <f>ROUND(H1490*G1490,2)</f>
        <v>444.45</v>
      </c>
      <c r="K1490" s="91"/>
      <c r="L1490" s="91"/>
      <c r="M1490" s="91"/>
      <c r="N1490" s="91"/>
      <c r="O1490" s="91"/>
      <c r="P1490" s="91"/>
      <c r="Q1490" s="91"/>
      <c r="R1490" s="25"/>
    </row>
    <row r="1491" spans="1:18" x14ac:dyDescent="0.25">
      <c r="A1491" s="163"/>
      <c r="B1491" s="101"/>
      <c r="C1491" s="101"/>
      <c r="D1491" s="101"/>
      <c r="E1491" s="102"/>
      <c r="F1491" s="101"/>
      <c r="G1491" s="96"/>
      <c r="H1491" s="96"/>
      <c r="I1491" s="169" t="s">
        <v>1193</v>
      </c>
      <c r="J1491" s="96"/>
      <c r="K1491" s="96"/>
      <c r="L1491" s="96"/>
      <c r="M1491" s="96"/>
      <c r="N1491" s="96"/>
      <c r="O1491" s="96"/>
      <c r="P1491" s="96"/>
      <c r="Q1491" s="96"/>
      <c r="R1491" s="25"/>
    </row>
    <row r="1492" spans="1:18" s="25" customFormat="1" x14ac:dyDescent="0.25">
      <c r="A1492" s="149"/>
      <c r="B1492" s="148"/>
      <c r="C1492" s="148"/>
      <c r="D1492" s="143" t="s">
        <v>1134</v>
      </c>
      <c r="E1492" s="144" t="s">
        <v>1135</v>
      </c>
      <c r="F1492" s="143" t="s">
        <v>1215</v>
      </c>
      <c r="G1492" s="146"/>
      <c r="H1492" s="146"/>
      <c r="I1492" s="146">
        <v>1</v>
      </c>
      <c r="J1492" s="146">
        <f>SUM(J1493:J1495)</f>
        <v>17.899999999999999</v>
      </c>
      <c r="K1492" s="146">
        <f>SUM(K1493:K1495)</f>
        <v>21.03</v>
      </c>
      <c r="L1492" s="146">
        <f>J1492+K1492</f>
        <v>38.93</v>
      </c>
      <c r="M1492" s="146">
        <f>I1492*J1492</f>
        <v>17.899999999999999</v>
      </c>
      <c r="N1492" s="146">
        <f>I1492*K1492</f>
        <v>21.03</v>
      </c>
      <c r="O1492" s="146">
        <f>M1492+N1492</f>
        <v>38.93</v>
      </c>
      <c r="P1492" s="146">
        <f>O1492*$P$1</f>
        <v>9.9894379999999998</v>
      </c>
      <c r="Q1492" s="146">
        <f>P1492+O1492</f>
        <v>48.919438</v>
      </c>
    </row>
    <row r="1493" spans="1:18" x14ac:dyDescent="0.25">
      <c r="A1493" s="134" t="s">
        <v>22</v>
      </c>
      <c r="B1493" s="92"/>
      <c r="C1493" s="92">
        <v>88247</v>
      </c>
      <c r="D1493" s="92"/>
      <c r="E1493" s="107" t="s">
        <v>599</v>
      </c>
      <c r="F1493" s="92" t="s">
        <v>29</v>
      </c>
      <c r="G1493" s="94">
        <v>0.5</v>
      </c>
      <c r="H1493" s="94">
        <f>H825</f>
        <v>19.100000000000001</v>
      </c>
      <c r="I1493" s="116" t="s">
        <v>1193</v>
      </c>
      <c r="J1493" s="94"/>
      <c r="K1493" s="94">
        <f>ROUND(G1493*H1493,2)</f>
        <v>9.5500000000000007</v>
      </c>
      <c r="L1493" s="94"/>
      <c r="M1493" s="94"/>
      <c r="N1493" s="94"/>
      <c r="O1493" s="94"/>
      <c r="P1493" s="94"/>
      <c r="Q1493" s="94"/>
      <c r="R1493" s="25"/>
    </row>
    <row r="1494" spans="1:18" x14ac:dyDescent="0.25">
      <c r="A1494" s="133" t="s">
        <v>22</v>
      </c>
      <c r="B1494" s="89"/>
      <c r="C1494" s="89">
        <v>88265</v>
      </c>
      <c r="D1494" s="89"/>
      <c r="E1494" s="90" t="s">
        <v>1130</v>
      </c>
      <c r="F1494" s="89" t="s">
        <v>29</v>
      </c>
      <c r="G1494" s="91">
        <v>0.5</v>
      </c>
      <c r="H1494" s="91">
        <v>22.95</v>
      </c>
      <c r="I1494" s="117" t="s">
        <v>1193</v>
      </c>
      <c r="J1494" s="91"/>
      <c r="K1494" s="91">
        <f>ROUND(G1494*H1494,2)</f>
        <v>11.48</v>
      </c>
      <c r="L1494" s="91"/>
      <c r="M1494" s="91"/>
      <c r="N1494" s="91"/>
      <c r="O1494" s="91"/>
      <c r="P1494" s="91"/>
      <c r="Q1494" s="91"/>
      <c r="R1494" s="25"/>
    </row>
    <row r="1495" spans="1:18" x14ac:dyDescent="0.25">
      <c r="A1495" s="135" t="s">
        <v>877</v>
      </c>
      <c r="B1495" s="191"/>
      <c r="C1495" s="191" t="s">
        <v>1012</v>
      </c>
      <c r="D1495" s="191"/>
      <c r="E1495" s="192" t="str">
        <f>E1492</f>
        <v>Organizador de cabos horizontal, 19".</v>
      </c>
      <c r="F1495" s="191" t="s">
        <v>1215</v>
      </c>
      <c r="G1495" s="193">
        <v>1</v>
      </c>
      <c r="H1495" s="341">
        <f>'MAPA COTAÇÕES ELÉTRICA'!L49</f>
        <v>17.899999999999999</v>
      </c>
      <c r="I1495" s="253" t="s">
        <v>1193</v>
      </c>
      <c r="J1495" s="193">
        <f>ROUND(H1495*G1495,2)</f>
        <v>17.899999999999999</v>
      </c>
      <c r="K1495" s="193"/>
      <c r="L1495" s="193"/>
      <c r="M1495" s="193"/>
      <c r="N1495" s="193"/>
      <c r="O1495" s="193"/>
      <c r="P1495" s="193"/>
      <c r="Q1495" s="193"/>
      <c r="R1495" s="25"/>
    </row>
    <row r="1496" spans="1:18" x14ac:dyDescent="0.25">
      <c r="A1496" s="159"/>
      <c r="B1496" s="160"/>
      <c r="C1496" s="160"/>
      <c r="D1496" s="160"/>
      <c r="E1496" s="161"/>
      <c r="F1496" s="160"/>
      <c r="G1496" s="162"/>
      <c r="H1496" s="162"/>
      <c r="I1496" s="170" t="s">
        <v>1193</v>
      </c>
      <c r="J1496" s="162"/>
      <c r="K1496" s="162"/>
      <c r="L1496" s="162"/>
      <c r="M1496" s="162"/>
      <c r="N1496" s="162"/>
      <c r="O1496" s="162"/>
      <c r="P1496" s="162"/>
      <c r="Q1496" s="162"/>
      <c r="R1496" s="25"/>
    </row>
    <row r="1497" spans="1:18" s="25" customFormat="1" x14ac:dyDescent="0.25">
      <c r="A1497" s="149"/>
      <c r="B1497" s="148"/>
      <c r="C1497" s="148"/>
      <c r="D1497" s="143" t="s">
        <v>1136</v>
      </c>
      <c r="E1497" s="144" t="s">
        <v>1137</v>
      </c>
      <c r="F1497" s="143" t="s">
        <v>1215</v>
      </c>
      <c r="G1497" s="146"/>
      <c r="H1497" s="146"/>
      <c r="I1497" s="146">
        <v>1</v>
      </c>
      <c r="J1497" s="146">
        <f>SUM(J1498:J1500)</f>
        <v>88.206666666666663</v>
      </c>
      <c r="K1497" s="146">
        <f>SUM(K1498:K1500)</f>
        <v>8.41</v>
      </c>
      <c r="L1497" s="146">
        <f>J1497+K1497</f>
        <v>96.61666666666666</v>
      </c>
      <c r="M1497" s="146">
        <f>I1497*J1497</f>
        <v>88.206666666666663</v>
      </c>
      <c r="N1497" s="146">
        <f>I1497*K1497</f>
        <v>8.41</v>
      </c>
      <c r="O1497" s="146">
        <f>M1497+N1497</f>
        <v>96.61666666666666</v>
      </c>
      <c r="P1497" s="146">
        <f>O1497*$P$1</f>
        <v>24.791836666666665</v>
      </c>
      <c r="Q1497" s="146">
        <f>P1497+O1497</f>
        <v>121.40850333333333</v>
      </c>
    </row>
    <row r="1498" spans="1:18" x14ac:dyDescent="0.25">
      <c r="A1498" s="133" t="s">
        <v>22</v>
      </c>
      <c r="B1498" s="89"/>
      <c r="C1498" s="89">
        <v>88247</v>
      </c>
      <c r="D1498" s="89"/>
      <c r="E1498" s="105" t="s">
        <v>599</v>
      </c>
      <c r="F1498" s="89" t="s">
        <v>29</v>
      </c>
      <c r="G1498" s="91">
        <v>0.2</v>
      </c>
      <c r="H1498" s="91">
        <f>H825</f>
        <v>19.100000000000001</v>
      </c>
      <c r="I1498" s="117" t="s">
        <v>1193</v>
      </c>
      <c r="J1498" s="91"/>
      <c r="K1498" s="91">
        <f>ROUND(G1498*H1498,2)</f>
        <v>3.82</v>
      </c>
      <c r="L1498" s="91"/>
      <c r="M1498" s="91"/>
      <c r="N1498" s="91"/>
      <c r="O1498" s="91"/>
      <c r="P1498" s="91"/>
      <c r="Q1498" s="91"/>
      <c r="R1498" s="25"/>
    </row>
    <row r="1499" spans="1:18" x14ac:dyDescent="0.25">
      <c r="A1499" s="134" t="s">
        <v>22</v>
      </c>
      <c r="B1499" s="92"/>
      <c r="C1499" s="92">
        <v>88265</v>
      </c>
      <c r="D1499" s="92"/>
      <c r="E1499" s="93" t="s">
        <v>1130</v>
      </c>
      <c r="F1499" s="92" t="s">
        <v>29</v>
      </c>
      <c r="G1499" s="94">
        <v>0.2</v>
      </c>
      <c r="H1499" s="94">
        <v>22.95</v>
      </c>
      <c r="I1499" s="116" t="s">
        <v>1193</v>
      </c>
      <c r="J1499" s="94"/>
      <c r="K1499" s="94">
        <f>ROUND(G1499*H1499,2)</f>
        <v>4.59</v>
      </c>
      <c r="L1499" s="94"/>
      <c r="M1499" s="94"/>
      <c r="N1499" s="94"/>
      <c r="O1499" s="94"/>
      <c r="P1499" s="94"/>
      <c r="Q1499" s="94"/>
      <c r="R1499" s="25"/>
    </row>
    <row r="1500" spans="1:18" x14ac:dyDescent="0.25">
      <c r="A1500" s="252" t="s">
        <v>877</v>
      </c>
      <c r="B1500" s="89"/>
      <c r="C1500" s="89" t="s">
        <v>1012</v>
      </c>
      <c r="D1500" s="89"/>
      <c r="E1500" s="90" t="str">
        <f>E1497</f>
        <v>Régua de tomadas com 12 posições NBR 14136 10 A</v>
      </c>
      <c r="F1500" s="89" t="s">
        <v>1215</v>
      </c>
      <c r="G1500" s="91">
        <v>1</v>
      </c>
      <c r="H1500" s="342">
        <f>'MAPA COTAÇÕES ELÉTRICA'!L50</f>
        <v>88.206666666666663</v>
      </c>
      <c r="I1500" s="253" t="s">
        <v>1193</v>
      </c>
      <c r="J1500" s="193">
        <f>H1500*G1500</f>
        <v>88.206666666666663</v>
      </c>
      <c r="K1500" s="193"/>
      <c r="L1500" s="193"/>
      <c r="M1500" s="193"/>
      <c r="N1500" s="193"/>
      <c r="O1500" s="193"/>
      <c r="P1500" s="193"/>
      <c r="Q1500" s="193"/>
      <c r="R1500" s="25"/>
    </row>
    <row r="1501" spans="1:18" x14ac:dyDescent="0.25">
      <c r="A1501" s="163"/>
      <c r="B1501" s="101"/>
      <c r="C1501" s="101"/>
      <c r="D1501" s="101"/>
      <c r="E1501" s="102"/>
      <c r="F1501" s="101"/>
      <c r="G1501" s="96"/>
      <c r="H1501" s="96"/>
      <c r="I1501" s="169" t="s">
        <v>1193</v>
      </c>
      <c r="J1501" s="96"/>
      <c r="K1501" s="96"/>
      <c r="L1501" s="96"/>
      <c r="M1501" s="96"/>
      <c r="N1501" s="96"/>
      <c r="O1501" s="96"/>
      <c r="P1501" s="96"/>
      <c r="Q1501" s="96"/>
      <c r="R1501" s="25"/>
    </row>
    <row r="1502" spans="1:18" s="25" customFormat="1" x14ac:dyDescent="0.25">
      <c r="A1502" s="149"/>
      <c r="B1502" s="148"/>
      <c r="C1502" s="148"/>
      <c r="D1502" s="143" t="s">
        <v>1138</v>
      </c>
      <c r="E1502" s="144" t="s">
        <v>1139</v>
      </c>
      <c r="F1502" s="143" t="s">
        <v>1215</v>
      </c>
      <c r="G1502" s="146"/>
      <c r="H1502" s="146"/>
      <c r="I1502" s="146">
        <v>1</v>
      </c>
      <c r="J1502" s="146">
        <f>SUM(J1503:J1504)</f>
        <v>26.93</v>
      </c>
      <c r="K1502" s="146">
        <f>SUM(K1503:K1504)</f>
        <v>2.2999999999999998</v>
      </c>
      <c r="L1502" s="146">
        <f>J1502+K1502</f>
        <v>29.23</v>
      </c>
      <c r="M1502" s="146">
        <f>I1502*J1502</f>
        <v>26.93</v>
      </c>
      <c r="N1502" s="146">
        <f>I1502*K1502</f>
        <v>2.2999999999999998</v>
      </c>
      <c r="O1502" s="146">
        <f>M1502+N1502</f>
        <v>29.23</v>
      </c>
      <c r="P1502" s="146">
        <f>O1502*$P$1</f>
        <v>7.5004179999999998</v>
      </c>
      <c r="Q1502" s="146">
        <f>P1502+O1502</f>
        <v>36.730418</v>
      </c>
    </row>
    <row r="1503" spans="1:18" x14ac:dyDescent="0.25">
      <c r="A1503" s="134" t="s">
        <v>22</v>
      </c>
      <c r="B1503" s="92"/>
      <c r="C1503" s="92">
        <v>88265</v>
      </c>
      <c r="D1503" s="92"/>
      <c r="E1503" s="93" t="s">
        <v>1130</v>
      </c>
      <c r="F1503" s="92" t="s">
        <v>29</v>
      </c>
      <c r="G1503" s="94">
        <v>0.1</v>
      </c>
      <c r="H1503" s="94">
        <v>22.95</v>
      </c>
      <c r="I1503" s="116" t="s">
        <v>1193</v>
      </c>
      <c r="J1503" s="94"/>
      <c r="K1503" s="94">
        <f>ROUND(G1503*H1503,2)</f>
        <v>2.2999999999999998</v>
      </c>
      <c r="L1503" s="94"/>
      <c r="M1503" s="94"/>
      <c r="N1503" s="94"/>
      <c r="O1503" s="94"/>
      <c r="P1503" s="94"/>
      <c r="Q1503" s="94"/>
      <c r="R1503" s="25"/>
    </row>
    <row r="1504" spans="1:18" x14ac:dyDescent="0.25">
      <c r="A1504" s="133" t="s">
        <v>22</v>
      </c>
      <c r="B1504" s="89"/>
      <c r="C1504" s="89">
        <v>39607</v>
      </c>
      <c r="D1504" s="89"/>
      <c r="E1504" s="90" t="str">
        <f>E1502</f>
        <v>Patch Cord RJ45-RJ45, CAT¨6 - 2,5m</v>
      </c>
      <c r="F1504" s="89" t="s">
        <v>1215</v>
      </c>
      <c r="G1504" s="91">
        <v>1</v>
      </c>
      <c r="H1504" s="91">
        <v>26.93</v>
      </c>
      <c r="I1504" s="117" t="s">
        <v>1193</v>
      </c>
      <c r="J1504" s="91">
        <f>ROUND(H1504*G1504,2)</f>
        <v>26.93</v>
      </c>
      <c r="K1504" s="91"/>
      <c r="L1504" s="91"/>
      <c r="M1504" s="91"/>
      <c r="N1504" s="91"/>
      <c r="O1504" s="91"/>
      <c r="P1504" s="91"/>
      <c r="Q1504" s="91"/>
      <c r="R1504" s="25"/>
    </row>
    <row r="1505" spans="1:18" x14ac:dyDescent="0.25">
      <c r="A1505" s="163"/>
      <c r="B1505" s="101"/>
      <c r="C1505" s="101"/>
      <c r="D1505" s="101"/>
      <c r="E1505" s="102"/>
      <c r="F1505" s="101"/>
      <c r="G1505" s="96"/>
      <c r="H1505" s="96"/>
      <c r="I1505" s="169" t="s">
        <v>1193</v>
      </c>
      <c r="J1505" s="96"/>
      <c r="K1505" s="96"/>
      <c r="L1505" s="96"/>
      <c r="M1505" s="96"/>
      <c r="N1505" s="96"/>
      <c r="O1505" s="96"/>
      <c r="P1505" s="96"/>
      <c r="Q1505" s="96"/>
      <c r="R1505" s="25"/>
    </row>
    <row r="1506" spans="1:18" s="25" customFormat="1" x14ac:dyDescent="0.25">
      <c r="A1506" s="149"/>
      <c r="B1506" s="148"/>
      <c r="C1506" s="148"/>
      <c r="D1506" s="143" t="s">
        <v>1140</v>
      </c>
      <c r="E1506" s="144" t="s">
        <v>1141</v>
      </c>
      <c r="F1506" s="143" t="s">
        <v>1215</v>
      </c>
      <c r="G1506" s="146"/>
      <c r="H1506" s="146"/>
      <c r="I1506" s="146">
        <v>1</v>
      </c>
      <c r="J1506" s="146">
        <f>SUM(J1507:J1509)</f>
        <v>2919.02</v>
      </c>
      <c r="K1506" s="146">
        <f>SUM(K1507:K1509)</f>
        <v>10.52</v>
      </c>
      <c r="L1506" s="146">
        <f>J1506+K1506</f>
        <v>2929.54</v>
      </c>
      <c r="M1506" s="146">
        <f>I1506*J1506</f>
        <v>2919.02</v>
      </c>
      <c r="N1506" s="146">
        <f>I1506*K1506</f>
        <v>10.52</v>
      </c>
      <c r="O1506" s="146">
        <f>M1506+N1506</f>
        <v>2929.54</v>
      </c>
      <c r="P1506" s="146">
        <f>O1506*$P$1</f>
        <v>751.719964</v>
      </c>
      <c r="Q1506" s="146">
        <f>P1506+O1506</f>
        <v>3681.2599639999999</v>
      </c>
    </row>
    <row r="1507" spans="1:18" x14ac:dyDescent="0.25">
      <c r="A1507" s="134" t="s">
        <v>22</v>
      </c>
      <c r="B1507" s="92"/>
      <c r="C1507" s="92">
        <v>88247</v>
      </c>
      <c r="D1507" s="92"/>
      <c r="E1507" s="107" t="s">
        <v>599</v>
      </c>
      <c r="F1507" s="92" t="s">
        <v>29</v>
      </c>
      <c r="G1507" s="94">
        <v>0.25</v>
      </c>
      <c r="H1507" s="94">
        <f>H825</f>
        <v>19.100000000000001</v>
      </c>
      <c r="I1507" s="116" t="s">
        <v>1193</v>
      </c>
      <c r="J1507" s="94"/>
      <c r="K1507" s="94">
        <f>ROUND(G1507*H1507,2)</f>
        <v>4.78</v>
      </c>
      <c r="L1507" s="94"/>
      <c r="M1507" s="94"/>
      <c r="N1507" s="94"/>
      <c r="O1507" s="94"/>
      <c r="P1507" s="94"/>
      <c r="Q1507" s="94"/>
      <c r="R1507" s="25"/>
    </row>
    <row r="1508" spans="1:18" x14ac:dyDescent="0.25">
      <c r="A1508" s="133" t="s">
        <v>22</v>
      </c>
      <c r="B1508" s="89"/>
      <c r="C1508" s="89">
        <v>88265</v>
      </c>
      <c r="D1508" s="89"/>
      <c r="E1508" s="90" t="s">
        <v>1130</v>
      </c>
      <c r="F1508" s="89" t="s">
        <v>29</v>
      </c>
      <c r="G1508" s="91">
        <v>0.25</v>
      </c>
      <c r="H1508" s="91">
        <v>22.95</v>
      </c>
      <c r="I1508" s="117" t="s">
        <v>1193</v>
      </c>
      <c r="J1508" s="91"/>
      <c r="K1508" s="91">
        <f>ROUND(G1508*H1508,2)</f>
        <v>5.74</v>
      </c>
      <c r="L1508" s="91"/>
      <c r="M1508" s="91"/>
      <c r="N1508" s="91"/>
      <c r="O1508" s="91"/>
      <c r="P1508" s="91"/>
      <c r="Q1508" s="91"/>
      <c r="R1508" s="25"/>
    </row>
    <row r="1509" spans="1:18" x14ac:dyDescent="0.25">
      <c r="A1509" s="135" t="s">
        <v>877</v>
      </c>
      <c r="B1509" s="191"/>
      <c r="C1509" s="191" t="s">
        <v>1142</v>
      </c>
      <c r="D1509" s="191"/>
      <c r="E1509" s="192" t="str">
        <f>E1506</f>
        <v>Rack de piso 40UN, fechado, 19", Profundidade: 800mm</v>
      </c>
      <c r="F1509" s="191" t="s">
        <v>1215</v>
      </c>
      <c r="G1509" s="193">
        <v>1</v>
      </c>
      <c r="H1509" s="341">
        <f>'MAPA COTAÇÕES ELÉTRICA'!L51</f>
        <v>2919.02</v>
      </c>
      <c r="I1509" s="253" t="s">
        <v>1193</v>
      </c>
      <c r="J1509" s="193">
        <f>ROUND(H1509*G1509,2)</f>
        <v>2919.02</v>
      </c>
      <c r="K1509" s="193"/>
      <c r="L1509" s="193"/>
      <c r="M1509" s="193"/>
      <c r="N1509" s="193"/>
      <c r="O1509" s="193"/>
      <c r="P1509" s="193"/>
      <c r="Q1509" s="193"/>
      <c r="R1509" s="25"/>
    </row>
    <row r="1510" spans="1:18" x14ac:dyDescent="0.25">
      <c r="A1510" s="159"/>
      <c r="B1510" s="160"/>
      <c r="C1510" s="160"/>
      <c r="D1510" s="160"/>
      <c r="E1510" s="161"/>
      <c r="F1510" s="160"/>
      <c r="G1510" s="162"/>
      <c r="H1510" s="162"/>
      <c r="I1510" s="170" t="s">
        <v>1193</v>
      </c>
      <c r="J1510" s="162"/>
      <c r="K1510" s="162"/>
      <c r="L1510" s="162"/>
      <c r="M1510" s="162"/>
      <c r="N1510" s="162"/>
      <c r="O1510" s="162"/>
      <c r="P1510" s="162"/>
      <c r="Q1510" s="162"/>
      <c r="R1510" s="25"/>
    </row>
    <row r="1511" spans="1:18" s="25" customFormat="1" x14ac:dyDescent="0.25">
      <c r="A1511" s="149"/>
      <c r="B1511" s="148"/>
      <c r="C1511" s="148"/>
      <c r="D1511" s="143" t="s">
        <v>1143</v>
      </c>
      <c r="E1511" s="144" t="s">
        <v>1144</v>
      </c>
      <c r="F1511" s="143" t="s">
        <v>1215</v>
      </c>
      <c r="G1511" s="146"/>
      <c r="H1511" s="146"/>
      <c r="I1511" s="146">
        <v>1</v>
      </c>
      <c r="J1511" s="146">
        <f>SUM(J1512:J1514)</f>
        <v>137.72</v>
      </c>
      <c r="K1511" s="146">
        <f>SUM(K1512:K1514)</f>
        <v>21.03</v>
      </c>
      <c r="L1511" s="146">
        <f>J1511+K1511</f>
        <v>158.75</v>
      </c>
      <c r="M1511" s="146">
        <f>I1511*J1511</f>
        <v>137.72</v>
      </c>
      <c r="N1511" s="146">
        <f>I1511*K1511</f>
        <v>21.03</v>
      </c>
      <c r="O1511" s="146">
        <f>M1511+N1511</f>
        <v>158.75</v>
      </c>
      <c r="P1511" s="146">
        <f>O1511*$P$1</f>
        <v>40.735250000000001</v>
      </c>
      <c r="Q1511" s="146">
        <f>P1511+O1511</f>
        <v>199.48525000000001</v>
      </c>
    </row>
    <row r="1512" spans="1:18" x14ac:dyDescent="0.25">
      <c r="A1512" s="133" t="s">
        <v>22</v>
      </c>
      <c r="B1512" s="89"/>
      <c r="C1512" s="89">
        <v>88247</v>
      </c>
      <c r="D1512" s="89"/>
      <c r="E1512" s="105" t="s">
        <v>599</v>
      </c>
      <c r="F1512" s="89" t="s">
        <v>29</v>
      </c>
      <c r="G1512" s="91">
        <v>0.5</v>
      </c>
      <c r="H1512" s="91">
        <f>H825</f>
        <v>19.100000000000001</v>
      </c>
      <c r="I1512" s="117" t="s">
        <v>1193</v>
      </c>
      <c r="J1512" s="91"/>
      <c r="K1512" s="91">
        <f>ROUND(G1512*H1512,2)</f>
        <v>9.5500000000000007</v>
      </c>
      <c r="L1512" s="91"/>
      <c r="M1512" s="91"/>
      <c r="N1512" s="91"/>
      <c r="O1512" s="91"/>
      <c r="P1512" s="91"/>
      <c r="Q1512" s="91"/>
      <c r="R1512" s="25"/>
    </row>
    <row r="1513" spans="1:18" x14ac:dyDescent="0.25">
      <c r="A1513" s="134" t="s">
        <v>22</v>
      </c>
      <c r="B1513" s="92"/>
      <c r="C1513" s="92">
        <v>88265</v>
      </c>
      <c r="D1513" s="92"/>
      <c r="E1513" s="93" t="s">
        <v>1130</v>
      </c>
      <c r="F1513" s="92" t="s">
        <v>29</v>
      </c>
      <c r="G1513" s="94">
        <v>0.5</v>
      </c>
      <c r="H1513" s="94">
        <v>22.95</v>
      </c>
      <c r="I1513" s="116" t="s">
        <v>1193</v>
      </c>
      <c r="J1513" s="94"/>
      <c r="K1513" s="94">
        <f>ROUND(G1513*H1513,2)</f>
        <v>11.48</v>
      </c>
      <c r="L1513" s="94"/>
      <c r="M1513" s="94"/>
      <c r="N1513" s="94"/>
      <c r="O1513" s="94"/>
      <c r="P1513" s="94"/>
      <c r="Q1513" s="94"/>
      <c r="R1513" s="25"/>
    </row>
    <row r="1514" spans="1:18" x14ac:dyDescent="0.25">
      <c r="A1514" s="252" t="s">
        <v>877</v>
      </c>
      <c r="B1514" s="89"/>
      <c r="C1514" s="89"/>
      <c r="D1514" s="89"/>
      <c r="E1514" s="100" t="str">
        <f>E1511</f>
        <v>Bandeja fixação dupla  para rack 19", 1U suportes ajustaveis</v>
      </c>
      <c r="F1514" s="89" t="s">
        <v>1215</v>
      </c>
      <c r="G1514" s="91">
        <v>1</v>
      </c>
      <c r="H1514" s="342">
        <f>'MAPA COTAÇÕES ELÉTRICA'!L52</f>
        <v>137.72</v>
      </c>
      <c r="I1514" s="253" t="s">
        <v>1193</v>
      </c>
      <c r="J1514" s="193">
        <f>ROUND(H1514*G1514,2)</f>
        <v>137.72</v>
      </c>
      <c r="K1514" s="193"/>
      <c r="L1514" s="193"/>
      <c r="M1514" s="193"/>
      <c r="N1514" s="193"/>
      <c r="O1514" s="193"/>
      <c r="P1514" s="193"/>
      <c r="Q1514" s="193"/>
      <c r="R1514" s="25"/>
    </row>
    <row r="1515" spans="1:18" x14ac:dyDescent="0.25">
      <c r="A1515" s="163"/>
      <c r="B1515" s="101"/>
      <c r="C1515" s="101"/>
      <c r="D1515" s="101"/>
      <c r="E1515" s="102"/>
      <c r="F1515" s="101"/>
      <c r="G1515" s="96"/>
      <c r="H1515" s="96"/>
      <c r="I1515" s="169" t="s">
        <v>1193</v>
      </c>
      <c r="J1515" s="96"/>
      <c r="K1515" s="96"/>
      <c r="L1515" s="96"/>
      <c r="M1515" s="96"/>
      <c r="N1515" s="96"/>
      <c r="O1515" s="96"/>
      <c r="P1515" s="96"/>
      <c r="Q1515" s="96"/>
      <c r="R1515" s="25"/>
    </row>
    <row r="1516" spans="1:18" s="25" customFormat="1" x14ac:dyDescent="0.25">
      <c r="A1516" s="149"/>
      <c r="B1516" s="148"/>
      <c r="C1516" s="148"/>
      <c r="D1516" s="143" t="s">
        <v>1145</v>
      </c>
      <c r="E1516" s="144" t="s">
        <v>1146</v>
      </c>
      <c r="F1516" s="143" t="s">
        <v>1215</v>
      </c>
      <c r="G1516" s="146"/>
      <c r="H1516" s="146"/>
      <c r="I1516" s="146">
        <v>1</v>
      </c>
      <c r="J1516" s="146">
        <f>SUM(J1517:J1518)</f>
        <v>0</v>
      </c>
      <c r="K1516" s="146">
        <f>SUM(K1517:K1518)</f>
        <v>20.6</v>
      </c>
      <c r="L1516" s="146">
        <f>J1516+K1516</f>
        <v>20.6</v>
      </c>
      <c r="M1516" s="146">
        <f>I1516*J1516</f>
        <v>0</v>
      </c>
      <c r="N1516" s="146">
        <f>I1516*K1516</f>
        <v>20.6</v>
      </c>
      <c r="O1516" s="146">
        <f>M1516+N1516</f>
        <v>20.6</v>
      </c>
      <c r="P1516" s="146">
        <f>O1516*$P$1</f>
        <v>5.2859600000000002</v>
      </c>
      <c r="Q1516" s="146">
        <f>P1516+O1516</f>
        <v>25.885960000000001</v>
      </c>
    </row>
    <row r="1517" spans="1:18" x14ac:dyDescent="0.25">
      <c r="A1517" s="134" t="s">
        <v>22</v>
      </c>
      <c r="B1517" s="92"/>
      <c r="C1517" s="92">
        <v>88247</v>
      </c>
      <c r="D1517" s="92"/>
      <c r="E1517" s="107" t="s">
        <v>599</v>
      </c>
      <c r="F1517" s="92" t="s">
        <v>29</v>
      </c>
      <c r="G1517" s="94">
        <v>0.45</v>
      </c>
      <c r="H1517" s="94">
        <f>H825</f>
        <v>19.100000000000001</v>
      </c>
      <c r="I1517" s="116" t="s">
        <v>1193</v>
      </c>
      <c r="J1517" s="94"/>
      <c r="K1517" s="94">
        <f>ROUND(G1517*H1517,2)</f>
        <v>8.6</v>
      </c>
      <c r="L1517" s="94"/>
      <c r="M1517" s="94"/>
      <c r="N1517" s="94"/>
      <c r="O1517" s="94"/>
      <c r="P1517" s="94"/>
      <c r="Q1517" s="94"/>
      <c r="R1517" s="25"/>
    </row>
    <row r="1518" spans="1:18" x14ac:dyDescent="0.25">
      <c r="A1518" s="133" t="s">
        <v>22</v>
      </c>
      <c r="B1518" s="89"/>
      <c r="C1518" s="89">
        <v>88266</v>
      </c>
      <c r="D1518" s="89"/>
      <c r="E1518" s="105" t="s">
        <v>1147</v>
      </c>
      <c r="F1518" s="89" t="s">
        <v>29</v>
      </c>
      <c r="G1518" s="91">
        <v>0.45</v>
      </c>
      <c r="H1518" s="91">
        <v>26.67</v>
      </c>
      <c r="I1518" s="117" t="s">
        <v>1193</v>
      </c>
      <c r="J1518" s="91"/>
      <c r="K1518" s="91">
        <f>ROUND(G1518*H1518,2)</f>
        <v>12</v>
      </c>
      <c r="L1518" s="91"/>
      <c r="M1518" s="91"/>
      <c r="N1518" s="91"/>
      <c r="O1518" s="91"/>
      <c r="P1518" s="91"/>
      <c r="Q1518" s="91"/>
      <c r="R1518" s="25"/>
    </row>
    <row r="1519" spans="1:18" x14ac:dyDescent="0.25">
      <c r="A1519" s="163"/>
      <c r="B1519" s="101"/>
      <c r="C1519" s="101"/>
      <c r="D1519" s="101"/>
      <c r="E1519" s="102"/>
      <c r="F1519" s="101"/>
      <c r="G1519" s="96"/>
      <c r="H1519" s="96"/>
      <c r="I1519" s="169" t="s">
        <v>1193</v>
      </c>
      <c r="J1519" s="96"/>
      <c r="K1519" s="96"/>
      <c r="L1519" s="96"/>
      <c r="M1519" s="96"/>
      <c r="N1519" s="96"/>
      <c r="O1519" s="96"/>
      <c r="P1519" s="96"/>
      <c r="Q1519" s="96"/>
      <c r="R1519" s="25"/>
    </row>
    <row r="1520" spans="1:18" s="25" customFormat="1" ht="30" x14ac:dyDescent="0.25">
      <c r="A1520" s="149"/>
      <c r="B1520" s="148"/>
      <c r="C1520" s="148"/>
      <c r="D1520" s="143" t="s">
        <v>1148</v>
      </c>
      <c r="E1520" s="144" t="s">
        <v>1149</v>
      </c>
      <c r="F1520" s="143" t="s">
        <v>1215</v>
      </c>
      <c r="G1520" s="146"/>
      <c r="H1520" s="146"/>
      <c r="I1520" s="146">
        <v>1</v>
      </c>
      <c r="J1520" s="146">
        <f>SUM(J1521:J1523)</f>
        <v>336.63</v>
      </c>
      <c r="K1520" s="146">
        <f>SUM(K1521:K1523)</f>
        <v>78.89</v>
      </c>
      <c r="L1520" s="146">
        <f>J1520+K1520</f>
        <v>415.52</v>
      </c>
      <c r="M1520" s="146">
        <f>I1520*J1520</f>
        <v>336.63</v>
      </c>
      <c r="N1520" s="146">
        <f>I1520*K1520</f>
        <v>78.89</v>
      </c>
      <c r="O1520" s="146">
        <f>M1520+N1520</f>
        <v>415.52</v>
      </c>
      <c r="P1520" s="146">
        <f>O1520*$P$1</f>
        <v>106.62243199999999</v>
      </c>
      <c r="Q1520" s="146">
        <f>P1520+O1520</f>
        <v>522.14243199999999</v>
      </c>
    </row>
    <row r="1521" spans="1:18" x14ac:dyDescent="0.25">
      <c r="A1521" s="134" t="s">
        <v>22</v>
      </c>
      <c r="B1521" s="92"/>
      <c r="C1521" s="92">
        <v>88247</v>
      </c>
      <c r="D1521" s="92"/>
      <c r="E1521" s="107" t="s">
        <v>599</v>
      </c>
      <c r="F1521" s="92" t="s">
        <v>29</v>
      </c>
      <c r="G1521" s="94">
        <v>1.8</v>
      </c>
      <c r="H1521" s="94">
        <f>H825</f>
        <v>19.100000000000001</v>
      </c>
      <c r="I1521" s="116" t="s">
        <v>1193</v>
      </c>
      <c r="J1521" s="94"/>
      <c r="K1521" s="94">
        <f>ROUND(G1521*H1521,2)</f>
        <v>34.380000000000003</v>
      </c>
      <c r="L1521" s="94"/>
      <c r="M1521" s="94"/>
      <c r="N1521" s="94"/>
      <c r="O1521" s="94"/>
      <c r="P1521" s="94"/>
      <c r="Q1521" s="94"/>
      <c r="R1521" s="25"/>
    </row>
    <row r="1522" spans="1:18" x14ac:dyDescent="0.25">
      <c r="A1522" s="133" t="s">
        <v>22</v>
      </c>
      <c r="B1522" s="89"/>
      <c r="C1522" s="89">
        <v>88264</v>
      </c>
      <c r="D1522" s="89"/>
      <c r="E1522" s="90" t="s">
        <v>594</v>
      </c>
      <c r="F1522" s="89" t="s">
        <v>29</v>
      </c>
      <c r="G1522" s="91">
        <v>1.8</v>
      </c>
      <c r="H1522" s="91">
        <f>H826</f>
        <v>24.73</v>
      </c>
      <c r="I1522" s="117" t="s">
        <v>1193</v>
      </c>
      <c r="J1522" s="91"/>
      <c r="K1522" s="91">
        <f>ROUND(G1522*H1522,2)</f>
        <v>44.51</v>
      </c>
      <c r="L1522" s="91"/>
      <c r="M1522" s="91"/>
      <c r="N1522" s="91"/>
      <c r="O1522" s="91"/>
      <c r="P1522" s="91"/>
      <c r="Q1522" s="91"/>
      <c r="R1522" s="25"/>
    </row>
    <row r="1523" spans="1:18" x14ac:dyDescent="0.25">
      <c r="A1523" s="134" t="s">
        <v>35</v>
      </c>
      <c r="B1523" s="92"/>
      <c r="C1523" s="92" t="s">
        <v>1150</v>
      </c>
      <c r="D1523" s="92"/>
      <c r="E1523" s="95" t="s">
        <v>1151</v>
      </c>
      <c r="F1523" s="92" t="s">
        <v>1215</v>
      </c>
      <c r="G1523" s="94">
        <v>1</v>
      </c>
      <c r="H1523" s="94">
        <v>336.63</v>
      </c>
      <c r="I1523" s="116" t="s">
        <v>1193</v>
      </c>
      <c r="J1523" s="94">
        <f>ROUND(H1523*G1523,2)</f>
        <v>336.63</v>
      </c>
      <c r="K1523" s="94"/>
      <c r="L1523" s="94"/>
      <c r="M1523" s="94"/>
      <c r="N1523" s="94"/>
      <c r="O1523" s="94"/>
      <c r="P1523" s="94"/>
      <c r="Q1523" s="94"/>
      <c r="R1523" s="25"/>
    </row>
    <row r="1524" spans="1:18" x14ac:dyDescent="0.25">
      <c r="A1524" s="159"/>
      <c r="B1524" s="160"/>
      <c r="C1524" s="160"/>
      <c r="D1524" s="160"/>
      <c r="E1524" s="161"/>
      <c r="F1524" s="160"/>
      <c r="G1524" s="162"/>
      <c r="H1524" s="162"/>
      <c r="I1524" s="170" t="s">
        <v>1193</v>
      </c>
      <c r="J1524" s="162"/>
      <c r="K1524" s="162"/>
      <c r="L1524" s="162"/>
      <c r="M1524" s="162"/>
      <c r="N1524" s="162"/>
      <c r="O1524" s="162"/>
      <c r="P1524" s="162"/>
      <c r="Q1524" s="162"/>
      <c r="R1524" s="25"/>
    </row>
    <row r="1525" spans="1:18" s="25" customFormat="1" ht="15.75" x14ac:dyDescent="0.25">
      <c r="A1525" s="136"/>
      <c r="B1525" s="97"/>
      <c r="C1525" s="97"/>
      <c r="D1525" s="97">
        <v>24</v>
      </c>
      <c r="E1525" s="98" t="s">
        <v>1152</v>
      </c>
      <c r="F1525" s="97"/>
      <c r="G1525" s="97"/>
      <c r="H1525" s="330"/>
      <c r="I1525" s="97" t="s">
        <v>1193</v>
      </c>
      <c r="J1525" s="330"/>
      <c r="K1525" s="330"/>
      <c r="L1525" s="330"/>
      <c r="M1525" s="330"/>
      <c r="N1525" s="330"/>
      <c r="O1525" s="330"/>
      <c r="P1525" s="330"/>
      <c r="Q1525" s="330">
        <f>SUM(Q1526:Q1529)</f>
        <v>440.61422399999998</v>
      </c>
    </row>
    <row r="1526" spans="1:18" s="25" customFormat="1" ht="150" x14ac:dyDescent="0.25">
      <c r="A1526" s="149" t="s">
        <v>22</v>
      </c>
      <c r="B1526" s="148"/>
      <c r="C1526" s="148"/>
      <c r="D1526" s="143" t="s">
        <v>1153</v>
      </c>
      <c r="E1526" s="144" t="s">
        <v>1154</v>
      </c>
      <c r="F1526" s="143" t="s">
        <v>1155</v>
      </c>
      <c r="G1526" s="146">
        <v>1</v>
      </c>
      <c r="H1526" s="146">
        <v>0</v>
      </c>
      <c r="I1526" s="146">
        <v>1</v>
      </c>
      <c r="J1526" s="146">
        <f>SUM(J1527:J1528)</f>
        <v>0</v>
      </c>
      <c r="K1526" s="146">
        <f>SUM(K1527:K1528)</f>
        <v>350.64</v>
      </c>
      <c r="L1526" s="146">
        <f>J1526+K1526</f>
        <v>350.64</v>
      </c>
      <c r="M1526" s="146">
        <f>I1526*J1526</f>
        <v>0</v>
      </c>
      <c r="N1526" s="146">
        <f>I1526*K1526</f>
        <v>350.64</v>
      </c>
      <c r="O1526" s="146">
        <f>M1526+N1526</f>
        <v>350.64</v>
      </c>
      <c r="P1526" s="146">
        <f>O1526*$P$1</f>
        <v>89.974223999999992</v>
      </c>
      <c r="Q1526" s="331">
        <f>P1526+O1526</f>
        <v>440.61422399999998</v>
      </c>
    </row>
    <row r="1527" spans="1:18" x14ac:dyDescent="0.25">
      <c r="A1527" s="134" t="s">
        <v>22</v>
      </c>
      <c r="B1527" s="92"/>
      <c r="C1527" s="92">
        <v>88247</v>
      </c>
      <c r="D1527" s="92"/>
      <c r="E1527" s="107" t="s">
        <v>599</v>
      </c>
      <c r="F1527" s="92" t="s">
        <v>1156</v>
      </c>
      <c r="G1527" s="94">
        <v>8</v>
      </c>
      <c r="H1527" s="94">
        <f>H825</f>
        <v>19.100000000000001</v>
      </c>
      <c r="I1527" s="116" t="str">
        <f>IF(Tabela2[[#This Row],[ITEM]]=0,"",IF(Tabela2[[#This Row],[UNID.]]=0,"",IF(Tabela2[[#This Row],[UNID.]]="un.",1,$R$4)))</f>
        <v/>
      </c>
      <c r="J1527" s="94"/>
      <c r="K1527" s="94">
        <f>ROUND(G1527*H1527,2)</f>
        <v>152.80000000000001</v>
      </c>
      <c r="L1527" s="94"/>
      <c r="M1527" s="94"/>
      <c r="N1527" s="94"/>
      <c r="O1527" s="94"/>
      <c r="P1527" s="94"/>
      <c r="Q1527" s="94"/>
    </row>
    <row r="1528" spans="1:18" x14ac:dyDescent="0.25">
      <c r="A1528" s="133" t="s">
        <v>22</v>
      </c>
      <c r="B1528" s="89"/>
      <c r="C1528" s="89">
        <v>88264</v>
      </c>
      <c r="D1528" s="89"/>
      <c r="E1528" s="90" t="s">
        <v>594</v>
      </c>
      <c r="F1528" s="89" t="s">
        <v>1156</v>
      </c>
      <c r="G1528" s="91">
        <v>8</v>
      </c>
      <c r="H1528" s="91">
        <f>H826</f>
        <v>24.73</v>
      </c>
      <c r="I1528" s="117" t="str">
        <f>IF(Tabela2[[#This Row],[ITEM]]=0,"",IF(Tabela2[[#This Row],[UNID.]]=0,"",IF(Tabela2[[#This Row],[UNID.]]="un.",1,$R$4)))</f>
        <v/>
      </c>
      <c r="J1528" s="91"/>
      <c r="K1528" s="91">
        <f>ROUND(G1528*H1528,2)</f>
        <v>197.84</v>
      </c>
      <c r="L1528" s="91"/>
      <c r="M1528" s="91"/>
      <c r="N1528" s="91"/>
      <c r="O1528" s="91"/>
      <c r="P1528" s="91"/>
      <c r="Q1528" s="91"/>
    </row>
    <row r="1529" spans="1:18" x14ac:dyDescent="0.25">
      <c r="A1529" s="163"/>
      <c r="B1529" s="101"/>
      <c r="C1529" s="101"/>
      <c r="D1529" s="101"/>
      <c r="E1529" s="102"/>
      <c r="F1529" s="101"/>
      <c r="G1529" s="96"/>
      <c r="H1529" s="96"/>
      <c r="I1529" s="169"/>
      <c r="J1529" s="96"/>
      <c r="K1529" s="96"/>
      <c r="L1529" s="96"/>
      <c r="M1529" s="96"/>
      <c r="N1529" s="96"/>
      <c r="O1529" s="96"/>
      <c r="P1529" s="96"/>
      <c r="Q1529" s="96"/>
    </row>
    <row r="1530" spans="1:18" ht="18.75" x14ac:dyDescent="0.25">
      <c r="A1530" s="254" t="s">
        <v>615</v>
      </c>
      <c r="B1530" s="255"/>
      <c r="C1530" s="256"/>
      <c r="D1530" s="256"/>
      <c r="E1530" s="257"/>
      <c r="F1530" s="258"/>
      <c r="G1530" s="259"/>
      <c r="H1530" s="259"/>
      <c r="I1530" s="260"/>
      <c r="J1530" s="259"/>
      <c r="K1530" s="259"/>
      <c r="L1530" s="259"/>
      <c r="M1530" s="259">
        <f>SUM(M1:M1526)</f>
        <v>55026.50568801567</v>
      </c>
      <c r="N1530" s="259">
        <f>SUM(N1:N1526)</f>
        <v>8637.3491583952782</v>
      </c>
      <c r="O1530" s="259">
        <f>SUM(O1:O1526)</f>
        <v>63663.85484641097</v>
      </c>
      <c r="P1530" s="259">
        <f>SUM(P1:P1526)</f>
        <v>16336.145153589059</v>
      </c>
      <c r="Q1530" s="261">
        <f>SUM(Q1:Q1526)/2</f>
        <v>80000</v>
      </c>
    </row>
    <row r="1531" spans="1:18" ht="18.75" x14ac:dyDescent="0.25">
      <c r="A1531" s="262" t="s">
        <v>616</v>
      </c>
      <c r="B1531" s="263"/>
      <c r="C1531" s="264"/>
      <c r="D1531" s="264"/>
      <c r="E1531" s="265"/>
      <c r="F1531" s="266"/>
      <c r="G1531" s="267"/>
      <c r="H1531" s="267"/>
      <c r="I1531" s="268"/>
      <c r="J1531" s="267"/>
      <c r="K1531" s="267"/>
      <c r="L1531" s="267"/>
      <c r="M1531" s="267">
        <f>M1530*(1+$P$1)</f>
        <v>69146.307047560491</v>
      </c>
      <c r="N1531" s="267">
        <f>N1530*(1+$P$1)</f>
        <v>10853.692952439505</v>
      </c>
      <c r="O1531" s="267">
        <f>O1530*(1+$P$1)</f>
        <v>80000.000000000015</v>
      </c>
      <c r="P1531" s="267"/>
      <c r="Q1531" s="269"/>
    </row>
    <row r="1535" spans="1:18" x14ac:dyDescent="0.25">
      <c r="R1535" s="346"/>
    </row>
  </sheetData>
  <conditionalFormatting sqref="C511">
    <cfRule type="containsBlanks" dxfId="4" priority="21">
      <formula>LEN(TRIM(C511))=0</formula>
    </cfRule>
  </conditionalFormatting>
  <pageMargins left="0.511811024" right="0.511811024" top="0.78740157500000008" bottom="0.78740157500000008" header="0.31496062000000008" footer="0.31496062000000008"/>
  <pageSetup paperSize="9" scale="38" fitToHeight="0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3"/>
  <sheetViews>
    <sheetView tabSelected="1" zoomScale="70" zoomScaleNormal="70" workbookViewId="0">
      <selection activeCell="E8" sqref="E8"/>
    </sheetView>
  </sheetViews>
  <sheetFormatPr defaultRowHeight="15" x14ac:dyDescent="0.25"/>
  <cols>
    <col min="1" max="1" width="65.42578125" customWidth="1"/>
    <col min="2" max="9" width="20.7109375" customWidth="1"/>
  </cols>
  <sheetData>
    <row r="1" spans="1:9" ht="21.75" customHeight="1" x14ac:dyDescent="0.25">
      <c r="A1" s="365" t="s">
        <v>1210</v>
      </c>
      <c r="B1" s="366"/>
      <c r="C1" s="366"/>
      <c r="D1" s="366"/>
      <c r="E1" s="366"/>
      <c r="F1" s="366"/>
      <c r="G1" s="366"/>
      <c r="H1" s="366"/>
      <c r="I1" s="367"/>
    </row>
    <row r="2" spans="1:9" ht="22.5" customHeight="1" x14ac:dyDescent="0.25">
      <c r="A2" s="27" t="s">
        <v>617</v>
      </c>
      <c r="B2" s="28" t="s">
        <v>618</v>
      </c>
      <c r="C2" s="28" t="s">
        <v>619</v>
      </c>
      <c r="D2" s="29" t="s">
        <v>620</v>
      </c>
      <c r="E2" s="29" t="s">
        <v>619</v>
      </c>
      <c r="F2" s="30" t="s">
        <v>621</v>
      </c>
      <c r="G2" s="30" t="s">
        <v>619</v>
      </c>
      <c r="H2" s="31" t="s">
        <v>622</v>
      </c>
      <c r="I2" s="32" t="s">
        <v>623</v>
      </c>
    </row>
    <row r="3" spans="1:9" ht="30" customHeight="1" x14ac:dyDescent="0.25">
      <c r="A3" s="33" t="s">
        <v>624</v>
      </c>
      <c r="B3" s="34" t="s">
        <v>625</v>
      </c>
      <c r="C3" s="302">
        <v>307.42</v>
      </c>
      <c r="D3" s="35" t="s">
        <v>626</v>
      </c>
      <c r="E3" s="304">
        <v>295.38</v>
      </c>
      <c r="F3" s="36" t="s">
        <v>627</v>
      </c>
      <c r="G3" s="306">
        <v>359.35</v>
      </c>
      <c r="H3" s="307">
        <f t="shared" ref="H3:H9" si="0">(C3+E3+G3)/3</f>
        <v>320.71666666666664</v>
      </c>
      <c r="I3" s="308">
        <f t="shared" ref="I3:I12" si="1">MEDIAN(C3,E3,G3)</f>
        <v>307.42</v>
      </c>
    </row>
    <row r="4" spans="1:9" ht="33" customHeight="1" x14ac:dyDescent="0.25">
      <c r="A4" s="33" t="s">
        <v>628</v>
      </c>
      <c r="B4" s="34" t="s">
        <v>629</v>
      </c>
      <c r="C4" s="302">
        <v>559.99</v>
      </c>
      <c r="D4" s="35" t="s">
        <v>630</v>
      </c>
      <c r="E4" s="304">
        <v>652.30999999999995</v>
      </c>
      <c r="F4" s="37" t="s">
        <v>631</v>
      </c>
      <c r="G4" s="306">
        <v>557.9</v>
      </c>
      <c r="H4" s="307">
        <f t="shared" si="0"/>
        <v>590.06666666666661</v>
      </c>
      <c r="I4" s="308">
        <f t="shared" si="1"/>
        <v>559.99</v>
      </c>
    </row>
    <row r="5" spans="1:9" ht="39.75" customHeight="1" x14ac:dyDescent="0.25">
      <c r="A5" s="33" t="s">
        <v>632</v>
      </c>
      <c r="B5" s="34" t="s">
        <v>633</v>
      </c>
      <c r="C5" s="302">
        <v>32.9</v>
      </c>
      <c r="D5" s="38" t="s">
        <v>634</v>
      </c>
      <c r="E5" s="304">
        <v>32.43</v>
      </c>
      <c r="F5" s="36" t="s">
        <v>635</v>
      </c>
      <c r="G5" s="306">
        <v>29</v>
      </c>
      <c r="H5" s="308">
        <f t="shared" si="0"/>
        <v>31.443333333333332</v>
      </c>
      <c r="I5" s="309">
        <f t="shared" si="1"/>
        <v>32.43</v>
      </c>
    </row>
    <row r="6" spans="1:9" ht="39.75" customHeight="1" x14ac:dyDescent="0.25">
      <c r="A6" s="33" t="s">
        <v>636</v>
      </c>
      <c r="B6" s="34" t="s">
        <v>637</v>
      </c>
      <c r="C6" s="302">
        <v>320</v>
      </c>
      <c r="D6" s="38" t="s">
        <v>638</v>
      </c>
      <c r="E6" s="304">
        <v>323.64999999999998</v>
      </c>
      <c r="F6" s="37" t="s">
        <v>639</v>
      </c>
      <c r="G6" s="306">
        <v>384.62</v>
      </c>
      <c r="H6" s="307">
        <f t="shared" si="0"/>
        <v>342.75666666666666</v>
      </c>
      <c r="I6" s="308">
        <f t="shared" si="1"/>
        <v>323.64999999999998</v>
      </c>
    </row>
    <row r="7" spans="1:9" ht="36" customHeight="1" x14ac:dyDescent="0.25">
      <c r="A7" s="39" t="s">
        <v>640</v>
      </c>
      <c r="B7" s="368" t="s">
        <v>641</v>
      </c>
      <c r="C7" s="302">
        <f>250+50+60</f>
        <v>360</v>
      </c>
      <c r="D7" s="370" t="s">
        <v>642</v>
      </c>
      <c r="E7" s="304">
        <f>260+50+60</f>
        <v>370</v>
      </c>
      <c r="F7" s="372" t="s">
        <v>643</v>
      </c>
      <c r="G7" s="306">
        <f>250+22+47.65</f>
        <v>319.64999999999998</v>
      </c>
      <c r="H7" s="308">
        <f t="shared" si="0"/>
        <v>349.88333333333338</v>
      </c>
      <c r="I7" s="309">
        <f t="shared" si="1"/>
        <v>360</v>
      </c>
    </row>
    <row r="8" spans="1:9" ht="36.75" customHeight="1" x14ac:dyDescent="0.25">
      <c r="A8" s="39" t="s">
        <v>644</v>
      </c>
      <c r="B8" s="369"/>
      <c r="C8" s="302">
        <f>420+50+60</f>
        <v>530</v>
      </c>
      <c r="D8" s="371"/>
      <c r="E8" s="304">
        <f>380+50+60</f>
        <v>490</v>
      </c>
      <c r="F8" s="373"/>
      <c r="G8" s="306">
        <f>300+22+47.65</f>
        <v>369.65</v>
      </c>
      <c r="H8" s="308">
        <f t="shared" si="0"/>
        <v>463.2166666666667</v>
      </c>
      <c r="I8" s="309">
        <f t="shared" si="1"/>
        <v>490</v>
      </c>
    </row>
    <row r="9" spans="1:9" ht="33" customHeight="1" x14ac:dyDescent="0.25">
      <c r="A9" s="40" t="s">
        <v>645</v>
      </c>
      <c r="B9" s="26" t="s">
        <v>635</v>
      </c>
      <c r="C9" s="302">
        <v>689.61</v>
      </c>
      <c r="D9" s="35" t="s">
        <v>646</v>
      </c>
      <c r="E9" s="304">
        <v>692.46</v>
      </c>
      <c r="F9" s="37" t="s">
        <v>647</v>
      </c>
      <c r="G9" s="310">
        <v>689.04</v>
      </c>
      <c r="H9" s="311">
        <f t="shared" si="0"/>
        <v>690.37</v>
      </c>
      <c r="I9" s="312">
        <f t="shared" si="1"/>
        <v>689.61</v>
      </c>
    </row>
    <row r="10" spans="1:9" ht="36.75" customHeight="1" x14ac:dyDescent="0.25">
      <c r="A10" s="40" t="s">
        <v>648</v>
      </c>
      <c r="B10" s="283" t="s">
        <v>633</v>
      </c>
      <c r="C10" s="302">
        <v>1794.49</v>
      </c>
      <c r="D10" s="35" t="s">
        <v>646</v>
      </c>
      <c r="E10" s="304">
        <v>1719.4</v>
      </c>
      <c r="F10" s="37" t="s">
        <v>649</v>
      </c>
      <c r="G10" s="310">
        <v>1800</v>
      </c>
      <c r="H10" s="308">
        <f t="shared" ref="H10:H12" si="2">(C10+E10+G10)/3</f>
        <v>1771.2966666666669</v>
      </c>
      <c r="I10" s="309">
        <f t="shared" si="1"/>
        <v>1794.49</v>
      </c>
    </row>
    <row r="11" spans="1:9" ht="30" customHeight="1" x14ac:dyDescent="0.25">
      <c r="A11" s="40" t="s">
        <v>650</v>
      </c>
      <c r="B11" s="26" t="s">
        <v>651</v>
      </c>
      <c r="C11" s="302">
        <v>718.5</v>
      </c>
      <c r="D11" s="35" t="s">
        <v>646</v>
      </c>
      <c r="E11" s="398">
        <v>817.9</v>
      </c>
      <c r="F11" s="37" t="s">
        <v>652</v>
      </c>
      <c r="G11" s="357">
        <v>738.06</v>
      </c>
      <c r="H11" s="311">
        <f t="shared" si="2"/>
        <v>758.15333333333331</v>
      </c>
      <c r="I11" s="312">
        <f t="shared" si="1"/>
        <v>738.06</v>
      </c>
    </row>
    <row r="12" spans="1:9" ht="30.75" thickBot="1" x14ac:dyDescent="0.3">
      <c r="A12" s="41" t="s">
        <v>402</v>
      </c>
      <c r="B12" s="42" t="s">
        <v>653</v>
      </c>
      <c r="C12" s="303">
        <v>90</v>
      </c>
      <c r="D12" s="43" t="s">
        <v>654</v>
      </c>
      <c r="E12" s="305">
        <v>90</v>
      </c>
      <c r="F12" s="44" t="s">
        <v>655</v>
      </c>
      <c r="G12" s="313">
        <v>98.9</v>
      </c>
      <c r="H12" s="328">
        <f t="shared" si="2"/>
        <v>92.966666666666654</v>
      </c>
      <c r="I12" s="329">
        <f t="shared" si="1"/>
        <v>90</v>
      </c>
    </row>
    <row r="13" spans="1:9" ht="58.9" customHeight="1" x14ac:dyDescent="0.25">
      <c r="H13" s="374" t="s">
        <v>1208</v>
      </c>
      <c r="I13" s="375"/>
    </row>
  </sheetData>
  <mergeCells count="5">
    <mergeCell ref="A1:I1"/>
    <mergeCell ref="B7:B8"/>
    <mergeCell ref="D7:D8"/>
    <mergeCell ref="F7:F8"/>
    <mergeCell ref="H13:I13"/>
  </mergeCells>
  <pageMargins left="0.51181102362204722" right="0.51181102362204722" top="0.78740157480314965" bottom="0.78740157480314965" header="0.31496062992125984" footer="0.31496062992125984"/>
  <pageSetup paperSize="9" scale="5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ML1048576"/>
  <sheetViews>
    <sheetView topLeftCell="A10" zoomScale="85" zoomScaleNormal="85" workbookViewId="0">
      <selection activeCell="N7" sqref="N7"/>
    </sheetView>
  </sheetViews>
  <sheetFormatPr defaultColWidth="11.5703125" defaultRowHeight="15" x14ac:dyDescent="0.25"/>
  <cols>
    <col min="1" max="1" width="7" style="75" customWidth="1"/>
    <col min="2" max="2" width="35.5703125" style="74" customWidth="1"/>
    <col min="3" max="3" width="11.5703125" style="22"/>
    <col min="4" max="4" width="15.7109375" style="22" customWidth="1"/>
    <col min="5" max="5" width="15.7109375" style="24" customWidth="1"/>
    <col min="6" max="6" width="15.7109375" style="22" customWidth="1"/>
    <col min="7" max="7" width="15.7109375" style="24" customWidth="1"/>
    <col min="8" max="8" width="15.7109375" style="22" customWidth="1"/>
    <col min="9" max="12" width="15.7109375" style="24" customWidth="1"/>
    <col min="13" max="1026" width="11.5703125" style="25"/>
  </cols>
  <sheetData>
    <row r="1" spans="1:12" customFormat="1" ht="39.75" customHeight="1" x14ac:dyDescent="0.25">
      <c r="A1" s="376" t="s">
        <v>1211</v>
      </c>
      <c r="B1" s="377"/>
      <c r="C1" s="377"/>
      <c r="D1" s="377"/>
      <c r="E1" s="377"/>
      <c r="F1" s="377"/>
      <c r="G1" s="377"/>
      <c r="H1" s="377"/>
      <c r="I1" s="377"/>
      <c r="J1" s="377"/>
      <c r="K1" s="377"/>
      <c r="L1" s="378"/>
    </row>
    <row r="2" spans="1:12" customFormat="1" ht="30" customHeight="1" x14ac:dyDescent="0.25">
      <c r="A2" s="379" t="s">
        <v>674</v>
      </c>
      <c r="B2" s="379" t="s">
        <v>675</v>
      </c>
      <c r="C2" s="380" t="s">
        <v>676</v>
      </c>
      <c r="D2" s="381" t="s">
        <v>618</v>
      </c>
      <c r="E2" s="382"/>
      <c r="F2" s="383" t="s">
        <v>620</v>
      </c>
      <c r="G2" s="382"/>
      <c r="H2" s="384" t="s">
        <v>621</v>
      </c>
      <c r="I2" s="382"/>
      <c r="J2" s="380" t="s">
        <v>622</v>
      </c>
      <c r="K2" s="380" t="s">
        <v>677</v>
      </c>
      <c r="L2" s="385" t="s">
        <v>1207</v>
      </c>
    </row>
    <row r="3" spans="1:12" customFormat="1" ht="32.450000000000003" customHeight="1" x14ac:dyDescent="0.25">
      <c r="A3" s="379"/>
      <c r="B3" s="379"/>
      <c r="C3" s="380"/>
      <c r="D3" s="324" t="s">
        <v>678</v>
      </c>
      <c r="E3" s="325" t="s">
        <v>679</v>
      </c>
      <c r="F3" s="326" t="s">
        <v>678</v>
      </c>
      <c r="G3" s="326" t="s">
        <v>679</v>
      </c>
      <c r="H3" s="327" t="s">
        <v>678</v>
      </c>
      <c r="I3" s="327" t="s">
        <v>679</v>
      </c>
      <c r="J3" s="380"/>
      <c r="K3" s="380"/>
      <c r="L3" s="385"/>
    </row>
    <row r="4" spans="1:12" customFormat="1" x14ac:dyDescent="0.25">
      <c r="A4" s="319">
        <v>1</v>
      </c>
      <c r="B4" s="320" t="s">
        <v>680</v>
      </c>
      <c r="C4" s="321" t="s">
        <v>681</v>
      </c>
      <c r="D4" s="314" t="s">
        <v>682</v>
      </c>
      <c r="E4" s="315">
        <v>109.9</v>
      </c>
      <c r="F4" s="316" t="s">
        <v>683</v>
      </c>
      <c r="G4" s="316">
        <v>78.27</v>
      </c>
      <c r="H4" s="317" t="s">
        <v>684</v>
      </c>
      <c r="I4" s="318">
        <v>99.74</v>
      </c>
      <c r="J4" s="322">
        <f>AVERAGE(E4,G4,I4)</f>
        <v>95.970000000000013</v>
      </c>
      <c r="K4" s="322">
        <f>MEDIAN(E4,G4,I4)</f>
        <v>99.74</v>
      </c>
      <c r="L4" s="323">
        <f>MIN(J4:K4)</f>
        <v>95.970000000000013</v>
      </c>
    </row>
    <row r="5" spans="1:12" customFormat="1" x14ac:dyDescent="0.25">
      <c r="A5" s="286">
        <v>2</v>
      </c>
      <c r="B5" s="85" t="s">
        <v>685</v>
      </c>
      <c r="C5" s="84" t="s">
        <v>686</v>
      </c>
      <c r="D5" s="293" t="s">
        <v>687</v>
      </c>
      <c r="E5" s="293">
        <v>58.3</v>
      </c>
      <c r="F5" s="294" t="s">
        <v>688</v>
      </c>
      <c r="G5" s="294">
        <v>66</v>
      </c>
      <c r="H5" s="295" t="s">
        <v>689</v>
      </c>
      <c r="I5" s="295">
        <v>52.86</v>
      </c>
      <c r="J5" s="86">
        <f t="shared" ref="J5:J52" si="0">AVERAGE(E5,G5,I5)</f>
        <v>59.053333333333335</v>
      </c>
      <c r="K5" s="86">
        <f t="shared" ref="K5:K52" si="1">MEDIAN(E5,G5,I5)</f>
        <v>58.3</v>
      </c>
      <c r="L5" s="285">
        <f t="shared" ref="L5:L52" si="2">MIN(J5:K5)</f>
        <v>58.3</v>
      </c>
    </row>
    <row r="6" spans="1:12" customFormat="1" x14ac:dyDescent="0.25">
      <c r="A6" s="286">
        <v>3</v>
      </c>
      <c r="B6" s="85" t="s">
        <v>690</v>
      </c>
      <c r="C6" s="84" t="s">
        <v>111</v>
      </c>
      <c r="D6" s="292" t="s">
        <v>691</v>
      </c>
      <c r="E6" s="293">
        <v>9.7100000000000009</v>
      </c>
      <c r="F6" s="294" t="s">
        <v>683</v>
      </c>
      <c r="G6" s="294">
        <v>10.91</v>
      </c>
      <c r="H6" s="295" t="s">
        <v>692</v>
      </c>
      <c r="I6" s="295">
        <v>7.3</v>
      </c>
      <c r="J6" s="86">
        <f t="shared" si="0"/>
        <v>9.3066666666666666</v>
      </c>
      <c r="K6" s="86">
        <f t="shared" si="1"/>
        <v>9.7100000000000009</v>
      </c>
      <c r="L6" s="285">
        <f t="shared" si="2"/>
        <v>9.3066666666666666</v>
      </c>
    </row>
    <row r="7" spans="1:12" customFormat="1" ht="45" x14ac:dyDescent="0.25">
      <c r="A7" s="286">
        <v>4</v>
      </c>
      <c r="B7" s="85" t="s">
        <v>693</v>
      </c>
      <c r="C7" s="84" t="s">
        <v>111</v>
      </c>
      <c r="D7" s="292" t="s">
        <v>684</v>
      </c>
      <c r="E7" s="293">
        <v>3.99</v>
      </c>
      <c r="F7" s="294" t="s">
        <v>694</v>
      </c>
      <c r="G7" s="294">
        <v>5.7</v>
      </c>
      <c r="H7" s="296" t="s">
        <v>695</v>
      </c>
      <c r="I7" s="295">
        <v>4.41</v>
      </c>
      <c r="J7" s="86">
        <f t="shared" si="0"/>
        <v>4.7</v>
      </c>
      <c r="K7" s="86">
        <f t="shared" si="1"/>
        <v>4.41</v>
      </c>
      <c r="L7" s="285">
        <f t="shared" si="2"/>
        <v>4.41</v>
      </c>
    </row>
    <row r="8" spans="1:12" customFormat="1" ht="45" x14ac:dyDescent="0.25">
      <c r="A8" s="284">
        <v>5</v>
      </c>
      <c r="B8" s="85" t="s">
        <v>696</v>
      </c>
      <c r="C8" s="84" t="s">
        <v>111</v>
      </c>
      <c r="D8" s="292" t="s">
        <v>684</v>
      </c>
      <c r="E8" s="293">
        <v>6.55</v>
      </c>
      <c r="F8" s="294" t="s">
        <v>694</v>
      </c>
      <c r="G8" s="294">
        <v>6.7</v>
      </c>
      <c r="H8" s="296" t="s">
        <v>695</v>
      </c>
      <c r="I8" s="295">
        <v>7.26</v>
      </c>
      <c r="J8" s="86">
        <f t="shared" si="0"/>
        <v>6.836666666666666</v>
      </c>
      <c r="K8" s="86">
        <f t="shared" si="1"/>
        <v>6.7</v>
      </c>
      <c r="L8" s="285">
        <f t="shared" si="2"/>
        <v>6.7</v>
      </c>
    </row>
    <row r="9" spans="1:12" customFormat="1" x14ac:dyDescent="0.25">
      <c r="A9" s="286">
        <v>6</v>
      </c>
      <c r="B9" s="85" t="s">
        <v>697</v>
      </c>
      <c r="C9" s="84" t="s">
        <v>111</v>
      </c>
      <c r="D9" s="292" t="s">
        <v>684</v>
      </c>
      <c r="E9" s="293">
        <v>6.31</v>
      </c>
      <c r="F9" s="294" t="s">
        <v>694</v>
      </c>
      <c r="G9" s="294">
        <v>7.4</v>
      </c>
      <c r="H9" s="296" t="s">
        <v>695</v>
      </c>
      <c r="I9" s="295">
        <v>6.12</v>
      </c>
      <c r="J9" s="86">
        <f t="shared" si="0"/>
        <v>6.61</v>
      </c>
      <c r="K9" s="86">
        <f t="shared" si="1"/>
        <v>6.31</v>
      </c>
      <c r="L9" s="285">
        <f t="shared" si="2"/>
        <v>6.31</v>
      </c>
    </row>
    <row r="10" spans="1:12" customFormat="1" x14ac:dyDescent="0.25">
      <c r="A10" s="286">
        <v>7</v>
      </c>
      <c r="B10" s="85" t="s">
        <v>698</v>
      </c>
      <c r="C10" s="84" t="s">
        <v>111</v>
      </c>
      <c r="D10" s="292" t="s">
        <v>684</v>
      </c>
      <c r="E10" s="293">
        <v>7.21</v>
      </c>
      <c r="F10" s="294" t="s">
        <v>695</v>
      </c>
      <c r="G10" s="294">
        <v>7.36</v>
      </c>
      <c r="H10" s="296" t="s">
        <v>694</v>
      </c>
      <c r="I10" s="295">
        <v>7.4</v>
      </c>
      <c r="J10" s="86">
        <f t="shared" si="0"/>
        <v>7.3233333333333333</v>
      </c>
      <c r="K10" s="86">
        <f t="shared" si="1"/>
        <v>7.36</v>
      </c>
      <c r="L10" s="285">
        <f t="shared" si="2"/>
        <v>7.3233333333333333</v>
      </c>
    </row>
    <row r="11" spans="1:12" customFormat="1" x14ac:dyDescent="0.25">
      <c r="A11" s="286">
        <v>8</v>
      </c>
      <c r="B11" s="85" t="s">
        <v>699</v>
      </c>
      <c r="C11" s="84" t="s">
        <v>111</v>
      </c>
      <c r="D11" s="292" t="s">
        <v>684</v>
      </c>
      <c r="E11" s="293">
        <v>7.51</v>
      </c>
      <c r="F11" s="294" t="s">
        <v>694</v>
      </c>
      <c r="G11" s="294">
        <v>8.3000000000000007</v>
      </c>
      <c r="H11" s="296" t="s">
        <v>695</v>
      </c>
      <c r="I11" s="295">
        <v>7.04</v>
      </c>
      <c r="J11" s="86">
        <f t="shared" si="0"/>
        <v>7.6166666666666671</v>
      </c>
      <c r="K11" s="86">
        <f t="shared" si="1"/>
        <v>7.51</v>
      </c>
      <c r="L11" s="285">
        <f t="shared" si="2"/>
        <v>7.51</v>
      </c>
    </row>
    <row r="12" spans="1:12" customFormat="1" x14ac:dyDescent="0.25">
      <c r="A12" s="286">
        <v>9</v>
      </c>
      <c r="B12" s="85" t="s">
        <v>700</v>
      </c>
      <c r="C12" s="84" t="s">
        <v>111</v>
      </c>
      <c r="D12" s="292" t="s">
        <v>695</v>
      </c>
      <c r="E12" s="293">
        <v>8.4499999999999993</v>
      </c>
      <c r="F12" s="294" t="s">
        <v>694</v>
      </c>
      <c r="G12" s="294">
        <v>10</v>
      </c>
      <c r="H12" s="296" t="s">
        <v>701</v>
      </c>
      <c r="I12" s="295">
        <v>10.41</v>
      </c>
      <c r="J12" s="86">
        <f t="shared" si="0"/>
        <v>9.6199999999999992</v>
      </c>
      <c r="K12" s="86">
        <f t="shared" si="1"/>
        <v>10</v>
      </c>
      <c r="L12" s="285">
        <f t="shared" si="2"/>
        <v>9.6199999999999992</v>
      </c>
    </row>
    <row r="13" spans="1:12" customFormat="1" x14ac:dyDescent="0.25">
      <c r="A13" s="286">
        <v>10</v>
      </c>
      <c r="B13" s="85" t="s">
        <v>702</v>
      </c>
      <c r="C13" s="84" t="s">
        <v>111</v>
      </c>
      <c r="D13" s="292" t="s">
        <v>695</v>
      </c>
      <c r="E13" s="293">
        <v>6.39</v>
      </c>
      <c r="F13" s="294" t="s">
        <v>701</v>
      </c>
      <c r="G13" s="294">
        <v>8.3800000000000008</v>
      </c>
      <c r="H13" s="296" t="s">
        <v>703</v>
      </c>
      <c r="I13" s="295">
        <v>8.9</v>
      </c>
      <c r="J13" s="86">
        <f t="shared" si="0"/>
        <v>7.8900000000000006</v>
      </c>
      <c r="K13" s="86">
        <f t="shared" si="1"/>
        <v>8.3800000000000008</v>
      </c>
      <c r="L13" s="285">
        <f t="shared" si="2"/>
        <v>7.8900000000000006</v>
      </c>
    </row>
    <row r="14" spans="1:12" customFormat="1" x14ac:dyDescent="0.25">
      <c r="A14" s="286">
        <v>11</v>
      </c>
      <c r="B14" s="85" t="s">
        <v>704</v>
      </c>
      <c r="C14" s="84" t="s">
        <v>111</v>
      </c>
      <c r="D14" s="292" t="s">
        <v>695</v>
      </c>
      <c r="E14" s="293">
        <v>4.9000000000000004</v>
      </c>
      <c r="F14" s="294" t="s">
        <v>701</v>
      </c>
      <c r="G14" s="294">
        <v>6.11</v>
      </c>
      <c r="H14" s="296" t="s">
        <v>703</v>
      </c>
      <c r="I14" s="295">
        <v>7.9</v>
      </c>
      <c r="J14" s="86">
        <f t="shared" si="0"/>
        <v>6.3033333333333346</v>
      </c>
      <c r="K14" s="86">
        <f t="shared" si="1"/>
        <v>6.11</v>
      </c>
      <c r="L14" s="285">
        <f t="shared" si="2"/>
        <v>6.11</v>
      </c>
    </row>
    <row r="15" spans="1:12" customFormat="1" ht="30" x14ac:dyDescent="0.25">
      <c r="A15" s="286">
        <v>12</v>
      </c>
      <c r="B15" s="85" t="s">
        <v>705</v>
      </c>
      <c r="C15" s="84" t="s">
        <v>111</v>
      </c>
      <c r="D15" s="292" t="s">
        <v>694</v>
      </c>
      <c r="E15" s="293">
        <f>3/2</f>
        <v>1.5</v>
      </c>
      <c r="F15" s="294" t="s">
        <v>695</v>
      </c>
      <c r="G15" s="294">
        <f>2.22/2</f>
        <v>1.1100000000000001</v>
      </c>
      <c r="H15" s="296" t="s">
        <v>701</v>
      </c>
      <c r="I15" s="295">
        <f>2.68/2</f>
        <v>1.34</v>
      </c>
      <c r="J15" s="86">
        <f t="shared" si="0"/>
        <v>1.3166666666666667</v>
      </c>
      <c r="K15" s="86">
        <f t="shared" si="1"/>
        <v>1.34</v>
      </c>
      <c r="L15" s="285">
        <f t="shared" si="2"/>
        <v>1.3166666666666667</v>
      </c>
    </row>
    <row r="16" spans="1:12" customFormat="1" x14ac:dyDescent="0.25">
      <c r="A16" s="286">
        <v>13</v>
      </c>
      <c r="B16" s="85" t="s">
        <v>706</v>
      </c>
      <c r="C16" s="84" t="s">
        <v>111</v>
      </c>
      <c r="D16" s="292" t="s">
        <v>683</v>
      </c>
      <c r="E16" s="293">
        <v>4.84</v>
      </c>
      <c r="F16" s="294" t="s">
        <v>687</v>
      </c>
      <c r="G16" s="294">
        <v>6.59</v>
      </c>
      <c r="H16" s="296" t="s">
        <v>707</v>
      </c>
      <c r="I16" s="295">
        <v>5.86</v>
      </c>
      <c r="J16" s="86">
        <f t="shared" si="0"/>
        <v>5.7633333333333328</v>
      </c>
      <c r="K16" s="86">
        <f t="shared" si="1"/>
        <v>5.86</v>
      </c>
      <c r="L16" s="285">
        <f t="shared" si="2"/>
        <v>5.7633333333333328</v>
      </c>
    </row>
    <row r="17" spans="1:12" customFormat="1" x14ac:dyDescent="0.25">
      <c r="A17" s="286">
        <v>14</v>
      </c>
      <c r="B17" s="85" t="s">
        <v>708</v>
      </c>
      <c r="C17" s="84" t="s">
        <v>111</v>
      </c>
      <c r="D17" s="292" t="s">
        <v>683</v>
      </c>
      <c r="E17" s="293">
        <v>6.52</v>
      </c>
      <c r="F17" s="294" t="s">
        <v>687</v>
      </c>
      <c r="G17" s="294">
        <v>4.9400000000000004</v>
      </c>
      <c r="H17" s="296" t="s">
        <v>707</v>
      </c>
      <c r="I17" s="295">
        <v>7.29</v>
      </c>
      <c r="J17" s="86">
        <f t="shared" si="0"/>
        <v>6.25</v>
      </c>
      <c r="K17" s="86">
        <f t="shared" si="1"/>
        <v>6.52</v>
      </c>
      <c r="L17" s="285">
        <f t="shared" si="2"/>
        <v>6.25</v>
      </c>
    </row>
    <row r="18" spans="1:12" customFormat="1" x14ac:dyDescent="0.25">
      <c r="A18" s="286">
        <v>15</v>
      </c>
      <c r="B18" s="85" t="s">
        <v>709</v>
      </c>
      <c r="C18" s="84" t="s">
        <v>111</v>
      </c>
      <c r="D18" s="292" t="s">
        <v>683</v>
      </c>
      <c r="E18" s="293">
        <v>5.71</v>
      </c>
      <c r="F18" s="294" t="s">
        <v>687</v>
      </c>
      <c r="G18" s="294">
        <v>5.53</v>
      </c>
      <c r="H18" s="296" t="s">
        <v>707</v>
      </c>
      <c r="I18" s="295">
        <v>6.36</v>
      </c>
      <c r="J18" s="86">
        <f t="shared" si="0"/>
        <v>5.8666666666666671</v>
      </c>
      <c r="K18" s="86">
        <f t="shared" si="1"/>
        <v>5.71</v>
      </c>
      <c r="L18" s="285">
        <f t="shared" si="2"/>
        <v>5.71</v>
      </c>
    </row>
    <row r="19" spans="1:12" customFormat="1" x14ac:dyDescent="0.25">
      <c r="A19" s="286">
        <v>16</v>
      </c>
      <c r="B19" s="85" t="s">
        <v>710</v>
      </c>
      <c r="C19" s="84" t="s">
        <v>111</v>
      </c>
      <c r="D19" s="292" t="s">
        <v>683</v>
      </c>
      <c r="E19" s="293">
        <v>5.9</v>
      </c>
      <c r="F19" s="294" t="s">
        <v>687</v>
      </c>
      <c r="G19" s="294">
        <v>5.63</v>
      </c>
      <c r="H19" s="296" t="s">
        <v>707</v>
      </c>
      <c r="I19" s="295">
        <v>6.45</v>
      </c>
      <c r="J19" s="86">
        <f t="shared" si="0"/>
        <v>5.9933333333333332</v>
      </c>
      <c r="K19" s="86">
        <f t="shared" si="1"/>
        <v>5.9</v>
      </c>
      <c r="L19" s="285">
        <f t="shared" si="2"/>
        <v>5.9</v>
      </c>
    </row>
    <row r="20" spans="1:12" customFormat="1" x14ac:dyDescent="0.25">
      <c r="A20" s="286">
        <v>17</v>
      </c>
      <c r="B20" s="85" t="s">
        <v>711</v>
      </c>
      <c r="C20" s="84" t="s">
        <v>39</v>
      </c>
      <c r="D20" s="292" t="s">
        <v>712</v>
      </c>
      <c r="E20" s="293">
        <v>2.39</v>
      </c>
      <c r="F20" s="294" t="s">
        <v>713</v>
      </c>
      <c r="G20" s="294">
        <v>1.58</v>
      </c>
      <c r="H20" s="296" t="s">
        <v>714</v>
      </c>
      <c r="I20" s="295">
        <v>1.1599999999999999</v>
      </c>
      <c r="J20" s="86">
        <f t="shared" si="0"/>
        <v>1.71</v>
      </c>
      <c r="K20" s="86">
        <f t="shared" si="1"/>
        <v>1.58</v>
      </c>
      <c r="L20" s="285">
        <f t="shared" si="2"/>
        <v>1.58</v>
      </c>
    </row>
    <row r="21" spans="1:12" customFormat="1" x14ac:dyDescent="0.25">
      <c r="A21" s="286">
        <v>18</v>
      </c>
      <c r="B21" s="85" t="s">
        <v>715</v>
      </c>
      <c r="C21" s="84" t="s">
        <v>111</v>
      </c>
      <c r="D21" s="292" t="s">
        <v>634</v>
      </c>
      <c r="E21" s="293">
        <v>131.80000000000001</v>
      </c>
      <c r="F21" s="294" t="s">
        <v>684</v>
      </c>
      <c r="G21" s="294">
        <v>130.13999999999999</v>
      </c>
      <c r="H21" s="296" t="s">
        <v>716</v>
      </c>
      <c r="I21" s="295">
        <v>154.13999999999999</v>
      </c>
      <c r="J21" s="86">
        <f t="shared" si="0"/>
        <v>138.69333333333333</v>
      </c>
      <c r="K21" s="86">
        <f t="shared" si="1"/>
        <v>131.80000000000001</v>
      </c>
      <c r="L21" s="285">
        <f t="shared" si="2"/>
        <v>131.80000000000001</v>
      </c>
    </row>
    <row r="22" spans="1:12" customFormat="1" x14ac:dyDescent="0.25">
      <c r="A22" s="286">
        <v>19</v>
      </c>
      <c r="B22" s="85" t="s">
        <v>717</v>
      </c>
      <c r="C22" s="84" t="s">
        <v>111</v>
      </c>
      <c r="D22" s="292" t="s">
        <v>716</v>
      </c>
      <c r="E22" s="293">
        <v>589.04999999999995</v>
      </c>
      <c r="F22" s="294" t="s">
        <v>718</v>
      </c>
      <c r="G22" s="294">
        <v>440</v>
      </c>
      <c r="H22" s="296" t="s">
        <v>719</v>
      </c>
      <c r="I22" s="295">
        <v>754.31</v>
      </c>
      <c r="J22" s="86">
        <f t="shared" si="0"/>
        <v>594.45333333333326</v>
      </c>
      <c r="K22" s="86">
        <f t="shared" si="1"/>
        <v>589.04999999999995</v>
      </c>
      <c r="L22" s="285">
        <f t="shared" si="2"/>
        <v>589.04999999999995</v>
      </c>
    </row>
    <row r="23" spans="1:12" customFormat="1" x14ac:dyDescent="0.25">
      <c r="A23" s="286">
        <v>20</v>
      </c>
      <c r="B23" s="85" t="s">
        <v>720</v>
      </c>
      <c r="C23" s="84" t="s">
        <v>111</v>
      </c>
      <c r="D23" s="292" t="s">
        <v>721</v>
      </c>
      <c r="E23" s="293">
        <v>996.92</v>
      </c>
      <c r="F23" s="294" t="s">
        <v>695</v>
      </c>
      <c r="G23" s="294">
        <v>787.89</v>
      </c>
      <c r="H23" s="296" t="s">
        <v>687</v>
      </c>
      <c r="I23" s="295">
        <v>924</v>
      </c>
      <c r="J23" s="86">
        <f t="shared" si="0"/>
        <v>902.93666666666661</v>
      </c>
      <c r="K23" s="86">
        <f t="shared" si="1"/>
        <v>924</v>
      </c>
      <c r="L23" s="285">
        <f t="shared" si="2"/>
        <v>902.93666666666661</v>
      </c>
    </row>
    <row r="24" spans="1:12" customFormat="1" ht="30" x14ac:dyDescent="0.25">
      <c r="A24" s="286">
        <v>21</v>
      </c>
      <c r="B24" s="85" t="s">
        <v>722</v>
      </c>
      <c r="C24" s="84" t="s">
        <v>111</v>
      </c>
      <c r="D24" s="292" t="s">
        <v>723</v>
      </c>
      <c r="E24" s="293">
        <v>528.6</v>
      </c>
      <c r="F24" s="294" t="s">
        <v>724</v>
      </c>
      <c r="G24" s="294">
        <v>759.23</v>
      </c>
      <c r="H24" s="296" t="s">
        <v>725</v>
      </c>
      <c r="I24" s="295">
        <v>437.68</v>
      </c>
      <c r="J24" s="86">
        <f t="shared" si="0"/>
        <v>575.16999999999996</v>
      </c>
      <c r="K24" s="86">
        <f t="shared" si="1"/>
        <v>528.6</v>
      </c>
      <c r="L24" s="285">
        <f t="shared" si="2"/>
        <v>528.6</v>
      </c>
    </row>
    <row r="25" spans="1:12" customFormat="1" x14ac:dyDescent="0.25">
      <c r="A25" s="286">
        <v>22</v>
      </c>
      <c r="B25" s="85" t="s">
        <v>726</v>
      </c>
      <c r="C25" s="84" t="s">
        <v>111</v>
      </c>
      <c r="D25" s="292" t="s">
        <v>727</v>
      </c>
      <c r="E25" s="293">
        <v>46.97</v>
      </c>
      <c r="F25" s="294" t="s">
        <v>687</v>
      </c>
      <c r="G25" s="294">
        <v>59.4</v>
      </c>
      <c r="H25" s="296" t="s">
        <v>728</v>
      </c>
      <c r="I25" s="295">
        <v>53.53</v>
      </c>
      <c r="J25" s="86">
        <f t="shared" si="0"/>
        <v>53.300000000000004</v>
      </c>
      <c r="K25" s="86">
        <f t="shared" si="1"/>
        <v>53.53</v>
      </c>
      <c r="L25" s="285">
        <f t="shared" si="2"/>
        <v>53.300000000000004</v>
      </c>
    </row>
    <row r="26" spans="1:12" customFormat="1" x14ac:dyDescent="0.25">
      <c r="A26" s="286">
        <v>23</v>
      </c>
      <c r="B26" s="85" t="s">
        <v>729</v>
      </c>
      <c r="C26" s="84" t="s">
        <v>111</v>
      </c>
      <c r="D26" s="292" t="s">
        <v>727</v>
      </c>
      <c r="E26" s="293">
        <v>103.92</v>
      </c>
      <c r="F26" s="294" t="s">
        <v>712</v>
      </c>
      <c r="G26" s="294">
        <v>118.88</v>
      </c>
      <c r="H26" s="296" t="s">
        <v>724</v>
      </c>
      <c r="I26" s="295">
        <v>132.74</v>
      </c>
      <c r="J26" s="86">
        <f t="shared" si="0"/>
        <v>118.51333333333334</v>
      </c>
      <c r="K26" s="86">
        <f t="shared" si="1"/>
        <v>118.88</v>
      </c>
      <c r="L26" s="285">
        <f t="shared" si="2"/>
        <v>118.51333333333334</v>
      </c>
    </row>
    <row r="27" spans="1:12" customFormat="1" x14ac:dyDescent="0.25">
      <c r="A27" s="286">
        <v>24</v>
      </c>
      <c r="B27" s="85" t="s">
        <v>730</v>
      </c>
      <c r="C27" s="84" t="s">
        <v>111</v>
      </c>
      <c r="D27" s="292" t="s">
        <v>731</v>
      </c>
      <c r="E27" s="293">
        <v>105.65</v>
      </c>
      <c r="F27" s="294" t="s">
        <v>634</v>
      </c>
      <c r="G27" s="294">
        <v>116.04</v>
      </c>
      <c r="H27" s="296" t="s">
        <v>732</v>
      </c>
      <c r="I27" s="295">
        <v>97</v>
      </c>
      <c r="J27" s="86">
        <f t="shared" si="0"/>
        <v>106.23</v>
      </c>
      <c r="K27" s="86">
        <f t="shared" si="1"/>
        <v>105.65</v>
      </c>
      <c r="L27" s="285">
        <f t="shared" si="2"/>
        <v>105.65</v>
      </c>
    </row>
    <row r="28" spans="1:12" customFormat="1" ht="30" x14ac:dyDescent="0.25">
      <c r="A28" s="286">
        <v>25</v>
      </c>
      <c r="B28" s="85" t="s">
        <v>733</v>
      </c>
      <c r="C28" s="84" t="s">
        <v>111</v>
      </c>
      <c r="D28" s="292" t="s">
        <v>727</v>
      </c>
      <c r="E28" s="293">
        <v>108.5</v>
      </c>
      <c r="F28" s="294" t="s">
        <v>634</v>
      </c>
      <c r="G28" s="294">
        <v>97.2</v>
      </c>
      <c r="H28" s="296" t="s">
        <v>734</v>
      </c>
      <c r="I28" s="295">
        <v>166.08</v>
      </c>
      <c r="J28" s="86">
        <f t="shared" si="0"/>
        <v>123.92666666666666</v>
      </c>
      <c r="K28" s="86">
        <f t="shared" si="1"/>
        <v>108.5</v>
      </c>
      <c r="L28" s="285">
        <f t="shared" si="2"/>
        <v>108.5</v>
      </c>
    </row>
    <row r="29" spans="1:12" customFormat="1" x14ac:dyDescent="0.25">
      <c r="A29" s="286">
        <v>26</v>
      </c>
      <c r="B29" s="85" t="s">
        <v>735</v>
      </c>
      <c r="C29" s="84" t="s">
        <v>111</v>
      </c>
      <c r="D29" s="292" t="s">
        <v>736</v>
      </c>
      <c r="E29" s="293">
        <v>19.899999999999999</v>
      </c>
      <c r="F29" s="294" t="s">
        <v>737</v>
      </c>
      <c r="G29" s="294">
        <v>26.7</v>
      </c>
      <c r="H29" s="296" t="s">
        <v>634</v>
      </c>
      <c r="I29" s="295">
        <v>19.5</v>
      </c>
      <c r="J29" s="86">
        <f t="shared" si="0"/>
        <v>22.033333333333331</v>
      </c>
      <c r="K29" s="86">
        <f t="shared" si="1"/>
        <v>19.899999999999999</v>
      </c>
      <c r="L29" s="285">
        <f t="shared" si="2"/>
        <v>19.899999999999999</v>
      </c>
    </row>
    <row r="30" spans="1:12" customFormat="1" x14ac:dyDescent="0.25">
      <c r="A30" s="286">
        <v>27</v>
      </c>
      <c r="B30" s="85" t="s">
        <v>738</v>
      </c>
      <c r="C30" s="84" t="s">
        <v>111</v>
      </c>
      <c r="D30" s="292" t="s">
        <v>739</v>
      </c>
      <c r="E30" s="293">
        <v>39.9</v>
      </c>
      <c r="F30" s="294" t="s">
        <v>740</v>
      </c>
      <c r="G30" s="294">
        <v>47.99</v>
      </c>
      <c r="H30" s="296" t="s">
        <v>634</v>
      </c>
      <c r="I30" s="295">
        <v>44.6</v>
      </c>
      <c r="J30" s="86">
        <f t="shared" si="0"/>
        <v>44.163333333333334</v>
      </c>
      <c r="K30" s="86">
        <f t="shared" si="1"/>
        <v>44.6</v>
      </c>
      <c r="L30" s="285">
        <f t="shared" si="2"/>
        <v>44.163333333333334</v>
      </c>
    </row>
    <row r="31" spans="1:12" customFormat="1" x14ac:dyDescent="0.25">
      <c r="A31" s="286">
        <v>28</v>
      </c>
      <c r="B31" s="85" t="s">
        <v>741</v>
      </c>
      <c r="C31" s="84" t="s">
        <v>111</v>
      </c>
      <c r="D31" s="292" t="s">
        <v>739</v>
      </c>
      <c r="E31" s="293">
        <v>24.9</v>
      </c>
      <c r="F31" s="294" t="s">
        <v>736</v>
      </c>
      <c r="G31" s="294">
        <v>25.5</v>
      </c>
      <c r="H31" s="296" t="s">
        <v>737</v>
      </c>
      <c r="I31" s="295">
        <v>30.6</v>
      </c>
      <c r="J31" s="86">
        <f t="shared" si="0"/>
        <v>27</v>
      </c>
      <c r="K31" s="86">
        <f t="shared" si="1"/>
        <v>25.5</v>
      </c>
      <c r="L31" s="285">
        <f t="shared" si="2"/>
        <v>25.5</v>
      </c>
    </row>
    <row r="32" spans="1:12" customFormat="1" x14ac:dyDescent="0.25">
      <c r="A32" s="286">
        <v>29</v>
      </c>
      <c r="B32" s="85" t="s">
        <v>742</v>
      </c>
      <c r="C32" s="84" t="s">
        <v>111</v>
      </c>
      <c r="D32" s="292" t="s">
        <v>743</v>
      </c>
      <c r="E32" s="293">
        <v>67.900000000000006</v>
      </c>
      <c r="F32" s="294" t="s">
        <v>744</v>
      </c>
      <c r="G32" s="294">
        <v>40</v>
      </c>
      <c r="H32" s="296" t="s">
        <v>716</v>
      </c>
      <c r="I32" s="295">
        <v>51.78</v>
      </c>
      <c r="J32" s="86">
        <f t="shared" si="0"/>
        <v>53.226666666666667</v>
      </c>
      <c r="K32" s="86">
        <f t="shared" si="1"/>
        <v>51.78</v>
      </c>
      <c r="L32" s="285">
        <f t="shared" si="2"/>
        <v>51.78</v>
      </c>
    </row>
    <row r="33" spans="1:12" customFormat="1" x14ac:dyDescent="0.25">
      <c r="A33" s="286">
        <v>30</v>
      </c>
      <c r="B33" s="85" t="s">
        <v>745</v>
      </c>
      <c r="C33" s="84" t="s">
        <v>111</v>
      </c>
      <c r="D33" s="292" t="s">
        <v>746</v>
      </c>
      <c r="E33" s="293">
        <v>58.99</v>
      </c>
      <c r="F33" s="294" t="s">
        <v>739</v>
      </c>
      <c r="G33" s="294">
        <v>59.9</v>
      </c>
      <c r="H33" s="296" t="s">
        <v>747</v>
      </c>
      <c r="I33" s="295">
        <v>59.99</v>
      </c>
      <c r="J33" s="86">
        <f t="shared" si="0"/>
        <v>59.626666666666665</v>
      </c>
      <c r="K33" s="86">
        <f t="shared" si="1"/>
        <v>59.9</v>
      </c>
      <c r="L33" s="285">
        <f t="shared" si="2"/>
        <v>59.626666666666665</v>
      </c>
    </row>
    <row r="34" spans="1:12" customFormat="1" x14ac:dyDescent="0.25">
      <c r="A34" s="286">
        <v>31</v>
      </c>
      <c r="B34" s="85" t="s">
        <v>748</v>
      </c>
      <c r="C34" s="84" t="s">
        <v>111</v>
      </c>
      <c r="D34" s="292" t="s">
        <v>749</v>
      </c>
      <c r="E34" s="293">
        <v>1158.3900000000001</v>
      </c>
      <c r="F34" s="294" t="s">
        <v>750</v>
      </c>
      <c r="G34" s="294">
        <v>1135.77</v>
      </c>
      <c r="H34" s="296" t="s">
        <v>751</v>
      </c>
      <c r="I34" s="295">
        <v>1157</v>
      </c>
      <c r="J34" s="86">
        <f t="shared" si="0"/>
        <v>1150.3866666666665</v>
      </c>
      <c r="K34" s="86">
        <f t="shared" si="1"/>
        <v>1157</v>
      </c>
      <c r="L34" s="285">
        <f t="shared" si="2"/>
        <v>1150.3866666666665</v>
      </c>
    </row>
    <row r="35" spans="1:12" customFormat="1" ht="30" x14ac:dyDescent="0.25">
      <c r="A35" s="286">
        <v>32</v>
      </c>
      <c r="B35" s="85" t="s">
        <v>752</v>
      </c>
      <c r="C35" s="84" t="s">
        <v>111</v>
      </c>
      <c r="D35" s="292" t="s">
        <v>749</v>
      </c>
      <c r="E35" s="293">
        <v>25.33</v>
      </c>
      <c r="F35" s="294" t="s">
        <v>750</v>
      </c>
      <c r="G35" s="294">
        <v>29.18</v>
      </c>
      <c r="H35" s="296" t="s">
        <v>751</v>
      </c>
      <c r="I35" s="295">
        <v>27.38</v>
      </c>
      <c r="J35" s="86">
        <f t="shared" si="0"/>
        <v>27.296666666666667</v>
      </c>
      <c r="K35" s="86">
        <f t="shared" si="1"/>
        <v>27.38</v>
      </c>
      <c r="L35" s="285">
        <f t="shared" si="2"/>
        <v>27.296666666666667</v>
      </c>
    </row>
    <row r="36" spans="1:12" customFormat="1" x14ac:dyDescent="0.25">
      <c r="A36" s="286">
        <v>33</v>
      </c>
      <c r="B36" s="85" t="s">
        <v>753</v>
      </c>
      <c r="C36" s="84" t="s">
        <v>111</v>
      </c>
      <c r="D36" s="292" t="s">
        <v>749</v>
      </c>
      <c r="E36" s="293">
        <v>233.46</v>
      </c>
      <c r="F36" s="294" t="s">
        <v>750</v>
      </c>
      <c r="G36" s="294">
        <v>242.14</v>
      </c>
      <c r="H36" s="296" t="s">
        <v>751</v>
      </c>
      <c r="I36" s="295">
        <v>214.73</v>
      </c>
      <c r="J36" s="86">
        <f t="shared" si="0"/>
        <v>230.11</v>
      </c>
      <c r="K36" s="86">
        <f t="shared" si="1"/>
        <v>233.46</v>
      </c>
      <c r="L36" s="285">
        <f t="shared" si="2"/>
        <v>230.11</v>
      </c>
    </row>
    <row r="37" spans="1:12" customFormat="1" ht="30" x14ac:dyDescent="0.25">
      <c r="A37" s="286">
        <v>34</v>
      </c>
      <c r="B37" s="85" t="s">
        <v>754</v>
      </c>
      <c r="C37" s="84" t="s">
        <v>111</v>
      </c>
      <c r="D37" s="292" t="s">
        <v>749</v>
      </c>
      <c r="E37" s="293">
        <v>22.62</v>
      </c>
      <c r="F37" s="294" t="s">
        <v>750</v>
      </c>
      <c r="G37" s="294">
        <v>16.2</v>
      </c>
      <c r="H37" s="296" t="s">
        <v>751</v>
      </c>
      <c r="I37" s="295">
        <v>14.14</v>
      </c>
      <c r="J37" s="86">
        <f t="shared" si="0"/>
        <v>17.653333333333332</v>
      </c>
      <c r="K37" s="86">
        <f t="shared" si="1"/>
        <v>16.2</v>
      </c>
      <c r="L37" s="285">
        <f t="shared" si="2"/>
        <v>16.2</v>
      </c>
    </row>
    <row r="38" spans="1:12" customFormat="1" ht="30" x14ac:dyDescent="0.25">
      <c r="A38" s="286">
        <v>35</v>
      </c>
      <c r="B38" s="85" t="s">
        <v>755</v>
      </c>
      <c r="C38" s="84" t="s">
        <v>111</v>
      </c>
      <c r="D38" s="292" t="s">
        <v>749</v>
      </c>
      <c r="E38" s="293">
        <v>39.58</v>
      </c>
      <c r="F38" s="294" t="s">
        <v>750</v>
      </c>
      <c r="G38" s="294">
        <v>39.29</v>
      </c>
      <c r="H38" s="296" t="s">
        <v>751</v>
      </c>
      <c r="I38" s="295">
        <v>47.8</v>
      </c>
      <c r="J38" s="86">
        <f t="shared" si="0"/>
        <v>42.223333333333336</v>
      </c>
      <c r="K38" s="86">
        <f t="shared" si="1"/>
        <v>39.58</v>
      </c>
      <c r="L38" s="285">
        <f t="shared" si="2"/>
        <v>39.58</v>
      </c>
    </row>
    <row r="39" spans="1:12" customFormat="1" x14ac:dyDescent="0.25">
      <c r="A39" s="286">
        <v>36</v>
      </c>
      <c r="B39" s="85" t="s">
        <v>756</v>
      </c>
      <c r="C39" s="84" t="s">
        <v>111</v>
      </c>
      <c r="D39" s="292" t="s">
        <v>749</v>
      </c>
      <c r="E39" s="293">
        <v>44.72</v>
      </c>
      <c r="F39" s="294" t="s">
        <v>750</v>
      </c>
      <c r="G39" s="294">
        <v>61.41</v>
      </c>
      <c r="H39" s="296" t="s">
        <v>751</v>
      </c>
      <c r="I39" s="295">
        <v>43.59</v>
      </c>
      <c r="J39" s="86">
        <f t="shared" si="0"/>
        <v>49.906666666666666</v>
      </c>
      <c r="K39" s="86">
        <f t="shared" si="1"/>
        <v>44.72</v>
      </c>
      <c r="L39" s="285">
        <f t="shared" si="2"/>
        <v>44.72</v>
      </c>
    </row>
    <row r="40" spans="1:12" customFormat="1" x14ac:dyDescent="0.25">
      <c r="A40" s="286">
        <v>37</v>
      </c>
      <c r="B40" s="85" t="s">
        <v>757</v>
      </c>
      <c r="C40" s="84" t="s">
        <v>111</v>
      </c>
      <c r="D40" s="292" t="s">
        <v>749</v>
      </c>
      <c r="E40" s="293">
        <v>15.18</v>
      </c>
      <c r="F40" s="294" t="s">
        <v>750</v>
      </c>
      <c r="G40" s="294">
        <v>18.010000000000002</v>
      </c>
      <c r="H40" s="296" t="s">
        <v>751</v>
      </c>
      <c r="I40" s="295">
        <v>15.13</v>
      </c>
      <c r="J40" s="86">
        <f t="shared" si="0"/>
        <v>16.106666666666666</v>
      </c>
      <c r="K40" s="86">
        <f t="shared" si="1"/>
        <v>15.18</v>
      </c>
      <c r="L40" s="285">
        <f t="shared" si="2"/>
        <v>15.18</v>
      </c>
    </row>
    <row r="41" spans="1:12" customFormat="1" x14ac:dyDescent="0.25">
      <c r="A41" s="286">
        <v>38</v>
      </c>
      <c r="B41" s="85" t="s">
        <v>758</v>
      </c>
      <c r="C41" s="84" t="s">
        <v>111</v>
      </c>
      <c r="D41" s="292" t="s">
        <v>749</v>
      </c>
      <c r="E41" s="293">
        <v>10.51</v>
      </c>
      <c r="F41" s="294" t="s">
        <v>750</v>
      </c>
      <c r="G41" s="294">
        <v>8.4</v>
      </c>
      <c r="H41" s="296" t="s">
        <v>751</v>
      </c>
      <c r="I41" s="295">
        <v>10.69</v>
      </c>
      <c r="J41" s="86">
        <f t="shared" si="0"/>
        <v>9.8666666666666671</v>
      </c>
      <c r="K41" s="86">
        <f t="shared" si="1"/>
        <v>10.51</v>
      </c>
      <c r="L41" s="285">
        <f t="shared" si="2"/>
        <v>9.8666666666666671</v>
      </c>
    </row>
    <row r="42" spans="1:12" customFormat="1" ht="30" x14ac:dyDescent="0.25">
      <c r="A42" s="286">
        <v>39</v>
      </c>
      <c r="B42" s="85" t="s">
        <v>759</v>
      </c>
      <c r="C42" s="84" t="s">
        <v>111</v>
      </c>
      <c r="D42" s="292" t="s">
        <v>749</v>
      </c>
      <c r="E42" s="293">
        <v>11.05</v>
      </c>
      <c r="F42" s="294" t="s">
        <v>750</v>
      </c>
      <c r="G42" s="294">
        <v>8.2100000000000009</v>
      </c>
      <c r="H42" s="296" t="s">
        <v>751</v>
      </c>
      <c r="I42" s="295">
        <v>11.21</v>
      </c>
      <c r="J42" s="86">
        <f t="shared" si="0"/>
        <v>10.156666666666668</v>
      </c>
      <c r="K42" s="86">
        <f t="shared" si="1"/>
        <v>11.05</v>
      </c>
      <c r="L42" s="285">
        <f t="shared" si="2"/>
        <v>10.156666666666668</v>
      </c>
    </row>
    <row r="43" spans="1:12" customFormat="1" x14ac:dyDescent="0.25">
      <c r="A43" s="286">
        <v>40</v>
      </c>
      <c r="B43" s="85" t="s">
        <v>760</v>
      </c>
      <c r="C43" s="84" t="s">
        <v>111</v>
      </c>
      <c r="D43" s="292" t="s">
        <v>749</v>
      </c>
      <c r="E43" s="293">
        <v>3.03</v>
      </c>
      <c r="F43" s="294" t="s">
        <v>750</v>
      </c>
      <c r="G43" s="294">
        <v>1.25</v>
      </c>
      <c r="H43" s="296" t="s">
        <v>751</v>
      </c>
      <c r="I43" s="295">
        <v>2.81</v>
      </c>
      <c r="J43" s="86">
        <f t="shared" si="0"/>
        <v>2.3633333333333333</v>
      </c>
      <c r="K43" s="86">
        <f t="shared" si="1"/>
        <v>2.81</v>
      </c>
      <c r="L43" s="285">
        <f t="shared" si="2"/>
        <v>2.3633333333333333</v>
      </c>
    </row>
    <row r="44" spans="1:12" customFormat="1" x14ac:dyDescent="0.25">
      <c r="A44" s="286">
        <v>41</v>
      </c>
      <c r="B44" s="85" t="s">
        <v>761</v>
      </c>
      <c r="C44" s="84" t="s">
        <v>111</v>
      </c>
      <c r="D44" s="292" t="s">
        <v>749</v>
      </c>
      <c r="E44" s="293">
        <v>3.66</v>
      </c>
      <c r="F44" s="294" t="s">
        <v>750</v>
      </c>
      <c r="G44" s="294">
        <v>1.94</v>
      </c>
      <c r="H44" s="296" t="s">
        <v>751</v>
      </c>
      <c r="I44" s="295">
        <v>3.4</v>
      </c>
      <c r="J44" s="86">
        <f t="shared" si="0"/>
        <v>3</v>
      </c>
      <c r="K44" s="86">
        <f t="shared" si="1"/>
        <v>3.4</v>
      </c>
      <c r="L44" s="285">
        <f t="shared" si="2"/>
        <v>3</v>
      </c>
    </row>
    <row r="45" spans="1:12" customFormat="1" x14ac:dyDescent="0.25">
      <c r="A45" s="286">
        <v>42</v>
      </c>
      <c r="B45" s="85" t="s">
        <v>762</v>
      </c>
      <c r="C45" s="84" t="s">
        <v>111</v>
      </c>
      <c r="D45" s="292" t="s">
        <v>749</v>
      </c>
      <c r="E45" s="293">
        <v>182</v>
      </c>
      <c r="F45" s="294" t="s">
        <v>750</v>
      </c>
      <c r="G45" s="294">
        <v>204.14</v>
      </c>
      <c r="H45" s="296" t="s">
        <v>751</v>
      </c>
      <c r="I45" s="295">
        <v>147.85</v>
      </c>
      <c r="J45" s="86">
        <f t="shared" si="0"/>
        <v>177.99666666666667</v>
      </c>
      <c r="K45" s="86">
        <f t="shared" si="1"/>
        <v>182</v>
      </c>
      <c r="L45" s="285">
        <f t="shared" si="2"/>
        <v>177.99666666666667</v>
      </c>
    </row>
    <row r="46" spans="1:12" customFormat="1" x14ac:dyDescent="0.25">
      <c r="A46" s="286">
        <v>43</v>
      </c>
      <c r="B46" s="85" t="s">
        <v>763</v>
      </c>
      <c r="C46" s="84" t="s">
        <v>111</v>
      </c>
      <c r="D46" s="292" t="s">
        <v>634</v>
      </c>
      <c r="E46" s="293">
        <v>105.17</v>
      </c>
      <c r="F46" s="294" t="s">
        <v>764</v>
      </c>
      <c r="G46" s="294">
        <v>131.99</v>
      </c>
      <c r="H46" s="296" t="s">
        <v>765</v>
      </c>
      <c r="I46" s="295">
        <v>102</v>
      </c>
      <c r="J46" s="86">
        <f t="shared" si="0"/>
        <v>113.05333333333334</v>
      </c>
      <c r="K46" s="86">
        <f t="shared" si="1"/>
        <v>105.17</v>
      </c>
      <c r="L46" s="285">
        <f t="shared" si="2"/>
        <v>105.17</v>
      </c>
    </row>
    <row r="47" spans="1:12" customFormat="1" x14ac:dyDescent="0.25">
      <c r="A47" s="286">
        <v>44</v>
      </c>
      <c r="B47" s="85" t="s">
        <v>766</v>
      </c>
      <c r="C47" s="84" t="s">
        <v>111</v>
      </c>
      <c r="D47" s="292" t="s">
        <v>767</v>
      </c>
      <c r="E47" s="293">
        <v>181.25</v>
      </c>
      <c r="F47" s="294" t="s">
        <v>634</v>
      </c>
      <c r="G47" s="294">
        <v>212.69</v>
      </c>
      <c r="H47" s="296" t="s">
        <v>768</v>
      </c>
      <c r="I47" s="295">
        <v>166</v>
      </c>
      <c r="J47" s="86">
        <f t="shared" si="0"/>
        <v>186.64666666666668</v>
      </c>
      <c r="K47" s="86">
        <f t="shared" si="1"/>
        <v>181.25</v>
      </c>
      <c r="L47" s="285">
        <f t="shared" si="2"/>
        <v>181.25</v>
      </c>
    </row>
    <row r="48" spans="1:12" customFormat="1" x14ac:dyDescent="0.25">
      <c r="A48" s="286">
        <v>45</v>
      </c>
      <c r="B48" s="85" t="s">
        <v>769</v>
      </c>
      <c r="C48" s="84" t="s">
        <v>111</v>
      </c>
      <c r="D48" s="292" t="s">
        <v>634</v>
      </c>
      <c r="E48" s="293">
        <v>168.88</v>
      </c>
      <c r="F48" s="294" t="s">
        <v>770</v>
      </c>
      <c r="G48" s="294">
        <v>171.93</v>
      </c>
      <c r="H48" s="296" t="s">
        <v>768</v>
      </c>
      <c r="I48" s="295">
        <v>160.68</v>
      </c>
      <c r="J48" s="86">
        <f t="shared" si="0"/>
        <v>167.16333333333333</v>
      </c>
      <c r="K48" s="86">
        <f t="shared" si="1"/>
        <v>168.88</v>
      </c>
      <c r="L48" s="285">
        <f t="shared" si="2"/>
        <v>167.16333333333333</v>
      </c>
    </row>
    <row r="49" spans="1:12" customFormat="1" x14ac:dyDescent="0.25">
      <c r="A49" s="286">
        <v>46</v>
      </c>
      <c r="B49" s="85" t="s">
        <v>771</v>
      </c>
      <c r="C49" s="84" t="s">
        <v>111</v>
      </c>
      <c r="D49" s="292" t="s">
        <v>772</v>
      </c>
      <c r="E49" s="293">
        <v>21.9</v>
      </c>
      <c r="F49" s="294" t="s">
        <v>773</v>
      </c>
      <c r="G49" s="294">
        <v>16.899999999999999</v>
      </c>
      <c r="H49" s="296" t="s">
        <v>774</v>
      </c>
      <c r="I49" s="295">
        <v>17.899999999999999</v>
      </c>
      <c r="J49" s="86">
        <f t="shared" si="0"/>
        <v>18.899999999999999</v>
      </c>
      <c r="K49" s="86">
        <f t="shared" si="1"/>
        <v>17.899999999999999</v>
      </c>
      <c r="L49" s="285">
        <f t="shared" si="2"/>
        <v>17.899999999999999</v>
      </c>
    </row>
    <row r="50" spans="1:12" customFormat="1" x14ac:dyDescent="0.25">
      <c r="A50" s="286">
        <v>47</v>
      </c>
      <c r="B50" s="85" t="s">
        <v>775</v>
      </c>
      <c r="C50" s="84" t="s">
        <v>111</v>
      </c>
      <c r="D50" s="292" t="s">
        <v>776</v>
      </c>
      <c r="E50" s="293">
        <v>66.42</v>
      </c>
      <c r="F50" s="294" t="s">
        <v>777</v>
      </c>
      <c r="G50" s="294">
        <v>94.2</v>
      </c>
      <c r="H50" s="296" t="s">
        <v>778</v>
      </c>
      <c r="I50" s="295">
        <v>104</v>
      </c>
      <c r="J50" s="86">
        <f t="shared" si="0"/>
        <v>88.206666666666663</v>
      </c>
      <c r="K50" s="86">
        <f t="shared" si="1"/>
        <v>94.2</v>
      </c>
      <c r="L50" s="285">
        <f t="shared" si="2"/>
        <v>88.206666666666663</v>
      </c>
    </row>
    <row r="51" spans="1:12" customFormat="1" x14ac:dyDescent="0.25">
      <c r="A51" s="286">
        <v>48</v>
      </c>
      <c r="B51" s="85" t="s">
        <v>779</v>
      </c>
      <c r="C51" s="84" t="s">
        <v>111</v>
      </c>
      <c r="D51" s="292" t="s">
        <v>780</v>
      </c>
      <c r="E51" s="293">
        <v>3164.7</v>
      </c>
      <c r="F51" s="294" t="s">
        <v>781</v>
      </c>
      <c r="G51" s="294">
        <v>2189</v>
      </c>
      <c r="H51" s="296" t="s">
        <v>782</v>
      </c>
      <c r="I51" s="295">
        <v>3403.36</v>
      </c>
      <c r="J51" s="86">
        <f t="shared" si="0"/>
        <v>2919.02</v>
      </c>
      <c r="K51" s="86">
        <f t="shared" si="1"/>
        <v>3164.7</v>
      </c>
      <c r="L51" s="285">
        <f t="shared" si="2"/>
        <v>2919.02</v>
      </c>
    </row>
    <row r="52" spans="1:12" customFormat="1" ht="30.6" customHeight="1" x14ac:dyDescent="0.25">
      <c r="A52" s="287">
        <v>49</v>
      </c>
      <c r="B52" s="288" t="s">
        <v>783</v>
      </c>
      <c r="C52" s="289" t="s">
        <v>111</v>
      </c>
      <c r="D52" s="297" t="s">
        <v>784</v>
      </c>
      <c r="E52" s="298">
        <v>160.16</v>
      </c>
      <c r="F52" s="299" t="s">
        <v>785</v>
      </c>
      <c r="G52" s="299">
        <v>142</v>
      </c>
      <c r="H52" s="300" t="s">
        <v>786</v>
      </c>
      <c r="I52" s="301">
        <v>111</v>
      </c>
      <c r="J52" s="290">
        <f t="shared" si="0"/>
        <v>137.72</v>
      </c>
      <c r="K52" s="290">
        <f t="shared" si="1"/>
        <v>142</v>
      </c>
      <c r="L52" s="291">
        <f t="shared" si="2"/>
        <v>137.72</v>
      </c>
    </row>
    <row r="1048575" customFormat="1" x14ac:dyDescent="0.25"/>
    <row r="1048576" customFormat="1" x14ac:dyDescent="0.25"/>
  </sheetData>
  <mergeCells count="10">
    <mergeCell ref="A1:L1"/>
    <mergeCell ref="A2:A3"/>
    <mergeCell ref="B2:B3"/>
    <mergeCell ref="C2:C3"/>
    <mergeCell ref="D2:E2"/>
    <mergeCell ref="F2:G2"/>
    <mergeCell ref="H2:I2"/>
    <mergeCell ref="L2:L3"/>
    <mergeCell ref="J2:J3"/>
    <mergeCell ref="K2:K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9" orientation="landscape" r:id="rId1"/>
  <headerFooter>
    <oddFooter>&amp;CPágina &amp;P de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62"/>
  <sheetViews>
    <sheetView topLeftCell="A10" workbookViewId="0">
      <selection activeCell="E21" sqref="E21"/>
    </sheetView>
  </sheetViews>
  <sheetFormatPr defaultRowHeight="12.75" x14ac:dyDescent="0.2"/>
  <cols>
    <col min="1" max="1" width="32.28515625" style="45" customWidth="1"/>
    <col min="2" max="2" width="16.140625" style="45" customWidth="1"/>
    <col min="3" max="3" width="16.28515625" style="45" customWidth="1"/>
    <col min="4" max="4" width="15.85546875" style="45" customWidth="1"/>
    <col min="5" max="5" width="15" style="45" customWidth="1"/>
    <col min="6" max="6" width="11.85546875" style="45" customWidth="1"/>
    <col min="7" max="251" width="9.140625" style="45"/>
    <col min="252" max="252" width="37.5703125" style="45" customWidth="1"/>
    <col min="253" max="253" width="16.140625" style="45" customWidth="1"/>
    <col min="254" max="254" width="16.28515625" style="45" customWidth="1"/>
    <col min="255" max="255" width="36.42578125" style="45" customWidth="1"/>
    <col min="256" max="507" width="9.140625" style="45"/>
    <col min="508" max="508" width="37.5703125" style="45" customWidth="1"/>
    <col min="509" max="509" width="16.140625" style="45" customWidth="1"/>
    <col min="510" max="510" width="16.28515625" style="45" customWidth="1"/>
    <col min="511" max="511" width="36.42578125" style="45" customWidth="1"/>
    <col min="512" max="763" width="9.140625" style="45"/>
    <col min="764" max="764" width="37.5703125" style="45" customWidth="1"/>
    <col min="765" max="765" width="16.140625" style="45" customWidth="1"/>
    <col min="766" max="766" width="16.28515625" style="45" customWidth="1"/>
    <col min="767" max="767" width="36.42578125" style="45" customWidth="1"/>
    <col min="768" max="1019" width="9.140625" style="45"/>
    <col min="1020" max="1020" width="37.5703125" style="45" customWidth="1"/>
    <col min="1021" max="1021" width="16.140625" style="45" customWidth="1"/>
    <col min="1022" max="1022" width="16.28515625" style="45" customWidth="1"/>
    <col min="1023" max="1023" width="36.42578125" style="45" customWidth="1"/>
    <col min="1024" max="1275" width="9.140625" style="45"/>
    <col min="1276" max="1276" width="37.5703125" style="45" customWidth="1"/>
    <col min="1277" max="1277" width="16.140625" style="45" customWidth="1"/>
    <col min="1278" max="1278" width="16.28515625" style="45" customWidth="1"/>
    <col min="1279" max="1279" width="36.42578125" style="45" customWidth="1"/>
    <col min="1280" max="1531" width="9.140625" style="45"/>
    <col min="1532" max="1532" width="37.5703125" style="45" customWidth="1"/>
    <col min="1533" max="1533" width="16.140625" style="45" customWidth="1"/>
    <col min="1534" max="1534" width="16.28515625" style="45" customWidth="1"/>
    <col min="1535" max="1535" width="36.42578125" style="45" customWidth="1"/>
    <col min="1536" max="1787" width="9.140625" style="45"/>
    <col min="1788" max="1788" width="37.5703125" style="45" customWidth="1"/>
    <col min="1789" max="1789" width="16.140625" style="45" customWidth="1"/>
    <col min="1790" max="1790" width="16.28515625" style="45" customWidth="1"/>
    <col min="1791" max="1791" width="36.42578125" style="45" customWidth="1"/>
    <col min="1792" max="2043" width="9.140625" style="45"/>
    <col min="2044" max="2044" width="37.5703125" style="45" customWidth="1"/>
    <col min="2045" max="2045" width="16.140625" style="45" customWidth="1"/>
    <col min="2046" max="2046" width="16.28515625" style="45" customWidth="1"/>
    <col min="2047" max="2047" width="36.42578125" style="45" customWidth="1"/>
    <col min="2048" max="2299" width="9.140625" style="45"/>
    <col min="2300" max="2300" width="37.5703125" style="45" customWidth="1"/>
    <col min="2301" max="2301" width="16.140625" style="45" customWidth="1"/>
    <col min="2302" max="2302" width="16.28515625" style="45" customWidth="1"/>
    <col min="2303" max="2303" width="36.42578125" style="45" customWidth="1"/>
    <col min="2304" max="2555" width="9.140625" style="45"/>
    <col min="2556" max="2556" width="37.5703125" style="45" customWidth="1"/>
    <col min="2557" max="2557" width="16.140625" style="45" customWidth="1"/>
    <col min="2558" max="2558" width="16.28515625" style="45" customWidth="1"/>
    <col min="2559" max="2559" width="36.42578125" style="45" customWidth="1"/>
    <col min="2560" max="2811" width="9.140625" style="45"/>
    <col min="2812" max="2812" width="37.5703125" style="45" customWidth="1"/>
    <col min="2813" max="2813" width="16.140625" style="45" customWidth="1"/>
    <col min="2814" max="2814" width="16.28515625" style="45" customWidth="1"/>
    <col min="2815" max="2815" width="36.42578125" style="45" customWidth="1"/>
    <col min="2816" max="3067" width="9.140625" style="45"/>
    <col min="3068" max="3068" width="37.5703125" style="45" customWidth="1"/>
    <col min="3069" max="3069" width="16.140625" style="45" customWidth="1"/>
    <col min="3070" max="3070" width="16.28515625" style="45" customWidth="1"/>
    <col min="3071" max="3071" width="36.42578125" style="45" customWidth="1"/>
    <col min="3072" max="3323" width="9.140625" style="45"/>
    <col min="3324" max="3324" width="37.5703125" style="45" customWidth="1"/>
    <col min="3325" max="3325" width="16.140625" style="45" customWidth="1"/>
    <col min="3326" max="3326" width="16.28515625" style="45" customWidth="1"/>
    <col min="3327" max="3327" width="36.42578125" style="45" customWidth="1"/>
    <col min="3328" max="3579" width="9.140625" style="45"/>
    <col min="3580" max="3580" width="37.5703125" style="45" customWidth="1"/>
    <col min="3581" max="3581" width="16.140625" style="45" customWidth="1"/>
    <col min="3582" max="3582" width="16.28515625" style="45" customWidth="1"/>
    <col min="3583" max="3583" width="36.42578125" style="45" customWidth="1"/>
    <col min="3584" max="3835" width="9.140625" style="45"/>
    <col min="3836" max="3836" width="37.5703125" style="45" customWidth="1"/>
    <col min="3837" max="3837" width="16.140625" style="45" customWidth="1"/>
    <col min="3838" max="3838" width="16.28515625" style="45" customWidth="1"/>
    <col min="3839" max="3839" width="36.42578125" style="45" customWidth="1"/>
    <col min="3840" max="4091" width="9.140625" style="45"/>
    <col min="4092" max="4092" width="37.5703125" style="45" customWidth="1"/>
    <col min="4093" max="4093" width="16.140625" style="45" customWidth="1"/>
    <col min="4094" max="4094" width="16.28515625" style="45" customWidth="1"/>
    <col min="4095" max="4095" width="36.42578125" style="45" customWidth="1"/>
    <col min="4096" max="4347" width="9.140625" style="45"/>
    <col min="4348" max="4348" width="37.5703125" style="45" customWidth="1"/>
    <col min="4349" max="4349" width="16.140625" style="45" customWidth="1"/>
    <col min="4350" max="4350" width="16.28515625" style="45" customWidth="1"/>
    <col min="4351" max="4351" width="36.42578125" style="45" customWidth="1"/>
    <col min="4352" max="4603" width="9.140625" style="45"/>
    <col min="4604" max="4604" width="37.5703125" style="45" customWidth="1"/>
    <col min="4605" max="4605" width="16.140625" style="45" customWidth="1"/>
    <col min="4606" max="4606" width="16.28515625" style="45" customWidth="1"/>
    <col min="4607" max="4607" width="36.42578125" style="45" customWidth="1"/>
    <col min="4608" max="4859" width="9.140625" style="45"/>
    <col min="4860" max="4860" width="37.5703125" style="45" customWidth="1"/>
    <col min="4861" max="4861" width="16.140625" style="45" customWidth="1"/>
    <col min="4862" max="4862" width="16.28515625" style="45" customWidth="1"/>
    <col min="4863" max="4863" width="36.42578125" style="45" customWidth="1"/>
    <col min="4864" max="5115" width="9.140625" style="45"/>
    <col min="5116" max="5116" width="37.5703125" style="45" customWidth="1"/>
    <col min="5117" max="5117" width="16.140625" style="45" customWidth="1"/>
    <col min="5118" max="5118" width="16.28515625" style="45" customWidth="1"/>
    <col min="5119" max="5119" width="36.42578125" style="45" customWidth="1"/>
    <col min="5120" max="5371" width="9.140625" style="45"/>
    <col min="5372" max="5372" width="37.5703125" style="45" customWidth="1"/>
    <col min="5373" max="5373" width="16.140625" style="45" customWidth="1"/>
    <col min="5374" max="5374" width="16.28515625" style="45" customWidth="1"/>
    <col min="5375" max="5375" width="36.42578125" style="45" customWidth="1"/>
    <col min="5376" max="5627" width="9.140625" style="45"/>
    <col min="5628" max="5628" width="37.5703125" style="45" customWidth="1"/>
    <col min="5629" max="5629" width="16.140625" style="45" customWidth="1"/>
    <col min="5630" max="5630" width="16.28515625" style="45" customWidth="1"/>
    <col min="5631" max="5631" width="36.42578125" style="45" customWidth="1"/>
    <col min="5632" max="5883" width="9.140625" style="45"/>
    <col min="5884" max="5884" width="37.5703125" style="45" customWidth="1"/>
    <col min="5885" max="5885" width="16.140625" style="45" customWidth="1"/>
    <col min="5886" max="5886" width="16.28515625" style="45" customWidth="1"/>
    <col min="5887" max="5887" width="36.42578125" style="45" customWidth="1"/>
    <col min="5888" max="6139" width="9.140625" style="45"/>
    <col min="6140" max="6140" width="37.5703125" style="45" customWidth="1"/>
    <col min="6141" max="6141" width="16.140625" style="45" customWidth="1"/>
    <col min="6142" max="6142" width="16.28515625" style="45" customWidth="1"/>
    <col min="6143" max="6143" width="36.42578125" style="45" customWidth="1"/>
    <col min="6144" max="6395" width="9.140625" style="45"/>
    <col min="6396" max="6396" width="37.5703125" style="45" customWidth="1"/>
    <col min="6397" max="6397" width="16.140625" style="45" customWidth="1"/>
    <col min="6398" max="6398" width="16.28515625" style="45" customWidth="1"/>
    <col min="6399" max="6399" width="36.42578125" style="45" customWidth="1"/>
    <col min="6400" max="6651" width="9.140625" style="45"/>
    <col min="6652" max="6652" width="37.5703125" style="45" customWidth="1"/>
    <col min="6653" max="6653" width="16.140625" style="45" customWidth="1"/>
    <col min="6654" max="6654" width="16.28515625" style="45" customWidth="1"/>
    <col min="6655" max="6655" width="36.42578125" style="45" customWidth="1"/>
    <col min="6656" max="6907" width="9.140625" style="45"/>
    <col min="6908" max="6908" width="37.5703125" style="45" customWidth="1"/>
    <col min="6909" max="6909" width="16.140625" style="45" customWidth="1"/>
    <col min="6910" max="6910" width="16.28515625" style="45" customWidth="1"/>
    <col min="6911" max="6911" width="36.42578125" style="45" customWidth="1"/>
    <col min="6912" max="7163" width="9.140625" style="45"/>
    <col min="7164" max="7164" width="37.5703125" style="45" customWidth="1"/>
    <col min="7165" max="7165" width="16.140625" style="45" customWidth="1"/>
    <col min="7166" max="7166" width="16.28515625" style="45" customWidth="1"/>
    <col min="7167" max="7167" width="36.42578125" style="45" customWidth="1"/>
    <col min="7168" max="7419" width="9.140625" style="45"/>
    <col min="7420" max="7420" width="37.5703125" style="45" customWidth="1"/>
    <col min="7421" max="7421" width="16.140625" style="45" customWidth="1"/>
    <col min="7422" max="7422" width="16.28515625" style="45" customWidth="1"/>
    <col min="7423" max="7423" width="36.42578125" style="45" customWidth="1"/>
    <col min="7424" max="7675" width="9.140625" style="45"/>
    <col min="7676" max="7676" width="37.5703125" style="45" customWidth="1"/>
    <col min="7677" max="7677" width="16.140625" style="45" customWidth="1"/>
    <col min="7678" max="7678" width="16.28515625" style="45" customWidth="1"/>
    <col min="7679" max="7679" width="36.42578125" style="45" customWidth="1"/>
    <col min="7680" max="7931" width="9.140625" style="45"/>
    <col min="7932" max="7932" width="37.5703125" style="45" customWidth="1"/>
    <col min="7933" max="7933" width="16.140625" style="45" customWidth="1"/>
    <col min="7934" max="7934" width="16.28515625" style="45" customWidth="1"/>
    <col min="7935" max="7935" width="36.42578125" style="45" customWidth="1"/>
    <col min="7936" max="8187" width="9.140625" style="45"/>
    <col min="8188" max="8188" width="37.5703125" style="45" customWidth="1"/>
    <col min="8189" max="8189" width="16.140625" style="45" customWidth="1"/>
    <col min="8190" max="8190" width="16.28515625" style="45" customWidth="1"/>
    <col min="8191" max="8191" width="36.42578125" style="45" customWidth="1"/>
    <col min="8192" max="8443" width="9.140625" style="45"/>
    <col min="8444" max="8444" width="37.5703125" style="45" customWidth="1"/>
    <col min="8445" max="8445" width="16.140625" style="45" customWidth="1"/>
    <col min="8446" max="8446" width="16.28515625" style="45" customWidth="1"/>
    <col min="8447" max="8447" width="36.42578125" style="45" customWidth="1"/>
    <col min="8448" max="8699" width="9.140625" style="45"/>
    <col min="8700" max="8700" width="37.5703125" style="45" customWidth="1"/>
    <col min="8701" max="8701" width="16.140625" style="45" customWidth="1"/>
    <col min="8702" max="8702" width="16.28515625" style="45" customWidth="1"/>
    <col min="8703" max="8703" width="36.42578125" style="45" customWidth="1"/>
    <col min="8704" max="8955" width="9.140625" style="45"/>
    <col min="8956" max="8956" width="37.5703125" style="45" customWidth="1"/>
    <col min="8957" max="8957" width="16.140625" style="45" customWidth="1"/>
    <col min="8958" max="8958" width="16.28515625" style="45" customWidth="1"/>
    <col min="8959" max="8959" width="36.42578125" style="45" customWidth="1"/>
    <col min="8960" max="9211" width="9.140625" style="45"/>
    <col min="9212" max="9212" width="37.5703125" style="45" customWidth="1"/>
    <col min="9213" max="9213" width="16.140625" style="45" customWidth="1"/>
    <col min="9214" max="9214" width="16.28515625" style="45" customWidth="1"/>
    <col min="9215" max="9215" width="36.42578125" style="45" customWidth="1"/>
    <col min="9216" max="9467" width="9.140625" style="45"/>
    <col min="9468" max="9468" width="37.5703125" style="45" customWidth="1"/>
    <col min="9469" max="9469" width="16.140625" style="45" customWidth="1"/>
    <col min="9470" max="9470" width="16.28515625" style="45" customWidth="1"/>
    <col min="9471" max="9471" width="36.42578125" style="45" customWidth="1"/>
    <col min="9472" max="9723" width="9.140625" style="45"/>
    <col min="9724" max="9724" width="37.5703125" style="45" customWidth="1"/>
    <col min="9725" max="9725" width="16.140625" style="45" customWidth="1"/>
    <col min="9726" max="9726" width="16.28515625" style="45" customWidth="1"/>
    <col min="9727" max="9727" width="36.42578125" style="45" customWidth="1"/>
    <col min="9728" max="9979" width="9.140625" style="45"/>
    <col min="9980" max="9980" width="37.5703125" style="45" customWidth="1"/>
    <col min="9981" max="9981" width="16.140625" style="45" customWidth="1"/>
    <col min="9982" max="9982" width="16.28515625" style="45" customWidth="1"/>
    <col min="9983" max="9983" width="36.42578125" style="45" customWidth="1"/>
    <col min="9984" max="10235" width="9.140625" style="45"/>
    <col min="10236" max="10236" width="37.5703125" style="45" customWidth="1"/>
    <col min="10237" max="10237" width="16.140625" style="45" customWidth="1"/>
    <col min="10238" max="10238" width="16.28515625" style="45" customWidth="1"/>
    <col min="10239" max="10239" width="36.42578125" style="45" customWidth="1"/>
    <col min="10240" max="10491" width="9.140625" style="45"/>
    <col min="10492" max="10492" width="37.5703125" style="45" customWidth="1"/>
    <col min="10493" max="10493" width="16.140625" style="45" customWidth="1"/>
    <col min="10494" max="10494" width="16.28515625" style="45" customWidth="1"/>
    <col min="10495" max="10495" width="36.42578125" style="45" customWidth="1"/>
    <col min="10496" max="10747" width="9.140625" style="45"/>
    <col min="10748" max="10748" width="37.5703125" style="45" customWidth="1"/>
    <col min="10749" max="10749" width="16.140625" style="45" customWidth="1"/>
    <col min="10750" max="10750" width="16.28515625" style="45" customWidth="1"/>
    <col min="10751" max="10751" width="36.42578125" style="45" customWidth="1"/>
    <col min="10752" max="11003" width="9.140625" style="45"/>
    <col min="11004" max="11004" width="37.5703125" style="45" customWidth="1"/>
    <col min="11005" max="11005" width="16.140625" style="45" customWidth="1"/>
    <col min="11006" max="11006" width="16.28515625" style="45" customWidth="1"/>
    <col min="11007" max="11007" width="36.42578125" style="45" customWidth="1"/>
    <col min="11008" max="11259" width="9.140625" style="45"/>
    <col min="11260" max="11260" width="37.5703125" style="45" customWidth="1"/>
    <col min="11261" max="11261" width="16.140625" style="45" customWidth="1"/>
    <col min="11262" max="11262" width="16.28515625" style="45" customWidth="1"/>
    <col min="11263" max="11263" width="36.42578125" style="45" customWidth="1"/>
    <col min="11264" max="11515" width="9.140625" style="45"/>
    <col min="11516" max="11516" width="37.5703125" style="45" customWidth="1"/>
    <col min="11517" max="11517" width="16.140625" style="45" customWidth="1"/>
    <col min="11518" max="11518" width="16.28515625" style="45" customWidth="1"/>
    <col min="11519" max="11519" width="36.42578125" style="45" customWidth="1"/>
    <col min="11520" max="11771" width="9.140625" style="45"/>
    <col min="11772" max="11772" width="37.5703125" style="45" customWidth="1"/>
    <col min="11773" max="11773" width="16.140625" style="45" customWidth="1"/>
    <col min="11774" max="11774" width="16.28515625" style="45" customWidth="1"/>
    <col min="11775" max="11775" width="36.42578125" style="45" customWidth="1"/>
    <col min="11776" max="12027" width="9.140625" style="45"/>
    <col min="12028" max="12028" width="37.5703125" style="45" customWidth="1"/>
    <col min="12029" max="12029" width="16.140625" style="45" customWidth="1"/>
    <col min="12030" max="12030" width="16.28515625" style="45" customWidth="1"/>
    <col min="12031" max="12031" width="36.42578125" style="45" customWidth="1"/>
    <col min="12032" max="12283" width="9.140625" style="45"/>
    <col min="12284" max="12284" width="37.5703125" style="45" customWidth="1"/>
    <col min="12285" max="12285" width="16.140625" style="45" customWidth="1"/>
    <col min="12286" max="12286" width="16.28515625" style="45" customWidth="1"/>
    <col min="12287" max="12287" width="36.42578125" style="45" customWidth="1"/>
    <col min="12288" max="12539" width="9.140625" style="45"/>
    <col min="12540" max="12540" width="37.5703125" style="45" customWidth="1"/>
    <col min="12541" max="12541" width="16.140625" style="45" customWidth="1"/>
    <col min="12542" max="12542" width="16.28515625" style="45" customWidth="1"/>
    <col min="12543" max="12543" width="36.42578125" style="45" customWidth="1"/>
    <col min="12544" max="12795" width="9.140625" style="45"/>
    <col min="12796" max="12796" width="37.5703125" style="45" customWidth="1"/>
    <col min="12797" max="12797" width="16.140625" style="45" customWidth="1"/>
    <col min="12798" max="12798" width="16.28515625" style="45" customWidth="1"/>
    <col min="12799" max="12799" width="36.42578125" style="45" customWidth="1"/>
    <col min="12800" max="13051" width="9.140625" style="45"/>
    <col min="13052" max="13052" width="37.5703125" style="45" customWidth="1"/>
    <col min="13053" max="13053" width="16.140625" style="45" customWidth="1"/>
    <col min="13054" max="13054" width="16.28515625" style="45" customWidth="1"/>
    <col min="13055" max="13055" width="36.42578125" style="45" customWidth="1"/>
    <col min="13056" max="13307" width="9.140625" style="45"/>
    <col min="13308" max="13308" width="37.5703125" style="45" customWidth="1"/>
    <col min="13309" max="13309" width="16.140625" style="45" customWidth="1"/>
    <col min="13310" max="13310" width="16.28515625" style="45" customWidth="1"/>
    <col min="13311" max="13311" width="36.42578125" style="45" customWidth="1"/>
    <col min="13312" max="13563" width="9.140625" style="45"/>
    <col min="13564" max="13564" width="37.5703125" style="45" customWidth="1"/>
    <col min="13565" max="13565" width="16.140625" style="45" customWidth="1"/>
    <col min="13566" max="13566" width="16.28515625" style="45" customWidth="1"/>
    <col min="13567" max="13567" width="36.42578125" style="45" customWidth="1"/>
    <col min="13568" max="13819" width="9.140625" style="45"/>
    <col min="13820" max="13820" width="37.5703125" style="45" customWidth="1"/>
    <col min="13821" max="13821" width="16.140625" style="45" customWidth="1"/>
    <col min="13822" max="13822" width="16.28515625" style="45" customWidth="1"/>
    <col min="13823" max="13823" width="36.42578125" style="45" customWidth="1"/>
    <col min="13824" max="14075" width="9.140625" style="45"/>
    <col min="14076" max="14076" width="37.5703125" style="45" customWidth="1"/>
    <col min="14077" max="14077" width="16.140625" style="45" customWidth="1"/>
    <col min="14078" max="14078" width="16.28515625" style="45" customWidth="1"/>
    <col min="14079" max="14079" width="36.42578125" style="45" customWidth="1"/>
    <col min="14080" max="14331" width="9.140625" style="45"/>
    <col min="14332" max="14332" width="37.5703125" style="45" customWidth="1"/>
    <col min="14333" max="14333" width="16.140625" style="45" customWidth="1"/>
    <col min="14334" max="14334" width="16.28515625" style="45" customWidth="1"/>
    <col min="14335" max="14335" width="36.42578125" style="45" customWidth="1"/>
    <col min="14336" max="14587" width="9.140625" style="45"/>
    <col min="14588" max="14588" width="37.5703125" style="45" customWidth="1"/>
    <col min="14589" max="14589" width="16.140625" style="45" customWidth="1"/>
    <col min="14590" max="14590" width="16.28515625" style="45" customWidth="1"/>
    <col min="14591" max="14591" width="36.42578125" style="45" customWidth="1"/>
    <col min="14592" max="14843" width="9.140625" style="45"/>
    <col min="14844" max="14844" width="37.5703125" style="45" customWidth="1"/>
    <col min="14845" max="14845" width="16.140625" style="45" customWidth="1"/>
    <col min="14846" max="14846" width="16.28515625" style="45" customWidth="1"/>
    <col min="14847" max="14847" width="36.42578125" style="45" customWidth="1"/>
    <col min="14848" max="15099" width="9.140625" style="45"/>
    <col min="15100" max="15100" width="37.5703125" style="45" customWidth="1"/>
    <col min="15101" max="15101" width="16.140625" style="45" customWidth="1"/>
    <col min="15102" max="15102" width="16.28515625" style="45" customWidth="1"/>
    <col min="15103" max="15103" width="36.42578125" style="45" customWidth="1"/>
    <col min="15104" max="15355" width="9.140625" style="45"/>
    <col min="15356" max="15356" width="37.5703125" style="45" customWidth="1"/>
    <col min="15357" max="15357" width="16.140625" style="45" customWidth="1"/>
    <col min="15358" max="15358" width="16.28515625" style="45" customWidth="1"/>
    <col min="15359" max="15359" width="36.42578125" style="45" customWidth="1"/>
    <col min="15360" max="15611" width="9.140625" style="45"/>
    <col min="15612" max="15612" width="37.5703125" style="45" customWidth="1"/>
    <col min="15613" max="15613" width="16.140625" style="45" customWidth="1"/>
    <col min="15614" max="15614" width="16.28515625" style="45" customWidth="1"/>
    <col min="15615" max="15615" width="36.42578125" style="45" customWidth="1"/>
    <col min="15616" max="15867" width="9.140625" style="45"/>
    <col min="15868" max="15868" width="37.5703125" style="45" customWidth="1"/>
    <col min="15869" max="15869" width="16.140625" style="45" customWidth="1"/>
    <col min="15870" max="15870" width="16.28515625" style="45" customWidth="1"/>
    <col min="15871" max="15871" width="36.42578125" style="45" customWidth="1"/>
    <col min="15872" max="16123" width="9.140625" style="45"/>
    <col min="16124" max="16124" width="37.5703125" style="45" customWidth="1"/>
    <col min="16125" max="16125" width="16.140625" style="45" customWidth="1"/>
    <col min="16126" max="16126" width="16.28515625" style="45" customWidth="1"/>
    <col min="16127" max="16127" width="36.42578125" style="45" customWidth="1"/>
    <col min="16128" max="16384" width="9.140625" style="45"/>
  </cols>
  <sheetData>
    <row r="1" spans="1:5" x14ac:dyDescent="0.2">
      <c r="A1" s="354" t="s">
        <v>1217</v>
      </c>
    </row>
    <row r="3" spans="1:5" s="46" customFormat="1" ht="15.75" x14ac:dyDescent="0.25">
      <c r="A3" s="388" t="s">
        <v>656</v>
      </c>
      <c r="B3" s="388"/>
      <c r="C3" s="388"/>
      <c r="D3" s="47"/>
    </row>
    <row r="4" spans="1:5" s="46" customFormat="1" ht="15.75" x14ac:dyDescent="0.25">
      <c r="A4" s="388"/>
      <c r="B4" s="388"/>
      <c r="C4" s="388"/>
      <c r="D4" s="47"/>
      <c r="E4"/>
    </row>
    <row r="5" spans="1:5" ht="15" x14ac:dyDescent="0.25">
      <c r="A5" s="48"/>
      <c r="B5" s="49"/>
      <c r="C5" s="50"/>
      <c r="D5" s="47"/>
      <c r="E5"/>
    </row>
    <row r="6" spans="1:5" ht="15" x14ac:dyDescent="0.25">
      <c r="A6" s="389" t="s">
        <v>657</v>
      </c>
      <c r="B6" s="390"/>
      <c r="C6" s="51">
        <v>1.77E-2</v>
      </c>
      <c r="D6" s="47"/>
      <c r="E6"/>
    </row>
    <row r="7" spans="1:5" ht="15" x14ac:dyDescent="0.25">
      <c r="A7" s="389" t="s">
        <v>658</v>
      </c>
      <c r="B7" s="390"/>
      <c r="C7" s="52">
        <v>0.04</v>
      </c>
      <c r="D7" s="47"/>
      <c r="E7"/>
    </row>
    <row r="8" spans="1:5" ht="15" x14ac:dyDescent="0.25">
      <c r="A8" s="389" t="s">
        <v>659</v>
      </c>
      <c r="B8" s="390"/>
      <c r="C8" s="52">
        <v>1.23E-2</v>
      </c>
      <c r="D8" s="47"/>
      <c r="E8"/>
    </row>
    <row r="9" spans="1:5" ht="15" x14ac:dyDescent="0.25">
      <c r="A9" s="389" t="s">
        <v>660</v>
      </c>
      <c r="B9" s="390"/>
      <c r="C9" s="52">
        <v>7.0000000000000007E-2</v>
      </c>
      <c r="D9" s="47"/>
      <c r="E9"/>
    </row>
    <row r="10" spans="1:5" ht="15" x14ac:dyDescent="0.25">
      <c r="A10" s="395" t="s">
        <v>661</v>
      </c>
      <c r="B10" s="53" t="s">
        <v>662</v>
      </c>
      <c r="C10" s="52">
        <v>0.03</v>
      </c>
      <c r="D10" s="47"/>
      <c r="E10"/>
    </row>
    <row r="11" spans="1:5" ht="15" x14ac:dyDescent="0.25">
      <c r="A11" s="396"/>
      <c r="B11" s="53" t="s">
        <v>663</v>
      </c>
      <c r="C11" s="52">
        <v>4.4999999999999998E-2</v>
      </c>
      <c r="D11" s="47"/>
      <c r="E11"/>
    </row>
    <row r="12" spans="1:5" ht="15" x14ac:dyDescent="0.25">
      <c r="A12" s="396"/>
      <c r="B12" s="53" t="s">
        <v>664</v>
      </c>
      <c r="C12" s="52">
        <v>6.4999999999999997E-3</v>
      </c>
      <c r="D12" s="47"/>
      <c r="E12"/>
    </row>
    <row r="13" spans="1:5" ht="15" x14ac:dyDescent="0.25">
      <c r="A13" s="397"/>
      <c r="B13" s="53" t="s">
        <v>665</v>
      </c>
      <c r="C13" s="54">
        <f>F62</f>
        <v>6.7835580952746921E-3</v>
      </c>
      <c r="D13" s="47"/>
      <c r="E13"/>
    </row>
    <row r="14" spans="1:5" ht="15" x14ac:dyDescent="0.25">
      <c r="A14" s="48"/>
      <c r="B14" s="49"/>
      <c r="C14" s="50"/>
      <c r="D14" s="47"/>
      <c r="E14"/>
    </row>
    <row r="15" spans="1:5" ht="15" x14ac:dyDescent="0.25">
      <c r="A15" s="48"/>
      <c r="B15" s="49"/>
      <c r="C15" s="50"/>
      <c r="D15" s="47"/>
      <c r="E15"/>
    </row>
    <row r="16" spans="1:5" ht="33" customHeight="1" x14ac:dyDescent="0.25">
      <c r="A16" s="391" t="s">
        <v>666</v>
      </c>
      <c r="B16" s="392"/>
      <c r="C16" s="356">
        <f>C6+C7</f>
        <v>5.7700000000000001E-2</v>
      </c>
      <c r="D16" s="47"/>
      <c r="E16"/>
    </row>
    <row r="17" spans="1:5" ht="15" x14ac:dyDescent="0.25">
      <c r="A17" s="393" t="s">
        <v>667</v>
      </c>
      <c r="B17" s="394"/>
      <c r="C17" s="355">
        <f>C8</f>
        <v>1.23E-2</v>
      </c>
      <c r="D17" s="47"/>
      <c r="E17"/>
    </row>
    <row r="18" spans="1:5" ht="15" x14ac:dyDescent="0.25">
      <c r="A18" s="393" t="s">
        <v>668</v>
      </c>
      <c r="B18" s="394"/>
      <c r="C18" s="355">
        <f>C9</f>
        <v>7.0000000000000007E-2</v>
      </c>
      <c r="D18" s="47"/>
      <c r="E18"/>
    </row>
    <row r="19" spans="1:5" ht="15" x14ac:dyDescent="0.25">
      <c r="A19" s="393" t="s">
        <v>669</v>
      </c>
      <c r="B19" s="394"/>
      <c r="C19" s="355">
        <f>SUM(C10:C13)</f>
        <v>8.8283558095274689E-2</v>
      </c>
      <c r="E19"/>
    </row>
    <row r="20" spans="1:5" ht="15" x14ac:dyDescent="0.25">
      <c r="A20" s="48"/>
      <c r="B20" s="49"/>
      <c r="C20" s="50"/>
      <c r="E20"/>
    </row>
    <row r="21" spans="1:5" ht="15" x14ac:dyDescent="0.25">
      <c r="A21" s="48"/>
      <c r="B21" s="49"/>
      <c r="C21" s="50"/>
      <c r="E21"/>
    </row>
    <row r="22" spans="1:5" x14ac:dyDescent="0.2">
      <c r="A22" s="48"/>
      <c r="B22" s="49"/>
      <c r="C22" s="50"/>
    </row>
    <row r="23" spans="1:5" ht="25.5" x14ac:dyDescent="0.2">
      <c r="A23" s="55" t="s">
        <v>670</v>
      </c>
      <c r="B23" s="56">
        <f>((1+C16)*(1+C17)*(1+C18)/(1-C19))-1</f>
        <v>0.25659617074200125</v>
      </c>
      <c r="C23" s="50"/>
    </row>
    <row r="24" spans="1:5" ht="15" x14ac:dyDescent="0.25">
      <c r="A24" s="57"/>
      <c r="B24" s="58"/>
      <c r="C24" s="59"/>
    </row>
    <row r="25" spans="1:5" ht="15" hidden="1" x14ac:dyDescent="0.25">
      <c r="A25" s="47"/>
      <c r="B25" s="47"/>
      <c r="C25" s="47"/>
    </row>
    <row r="26" spans="1:5" ht="15" hidden="1" x14ac:dyDescent="0.25">
      <c r="A26" s="47"/>
      <c r="B26" s="47"/>
      <c r="C26" s="47"/>
    </row>
    <row r="27" spans="1:5" hidden="1" x14ac:dyDescent="0.2">
      <c r="A27" s="60" t="s">
        <v>671</v>
      </c>
      <c r="B27" s="60" t="s">
        <v>672</v>
      </c>
      <c r="C27" s="61" t="s">
        <v>19</v>
      </c>
    </row>
    <row r="28" spans="1:5" ht="15" hidden="1" x14ac:dyDescent="0.25">
      <c r="A28" s="62"/>
      <c r="B28" s="62"/>
      <c r="C28" s="63"/>
    </row>
    <row r="29" spans="1:5" ht="15" hidden="1" x14ac:dyDescent="0.25">
      <c r="A29" s="64">
        <v>3048013.44</v>
      </c>
      <c r="B29" s="64">
        <v>1005512.64</v>
      </c>
      <c r="C29" s="65">
        <f>A29+B29</f>
        <v>4053526.08</v>
      </c>
    </row>
    <row r="30" spans="1:5" ht="15" hidden="1" x14ac:dyDescent="0.25">
      <c r="A30" s="62"/>
      <c r="B30" s="62"/>
      <c r="C30" s="63"/>
    </row>
    <row r="31" spans="1:5" ht="15" hidden="1" x14ac:dyDescent="0.25">
      <c r="A31" s="64">
        <v>499962.91</v>
      </c>
      <c r="B31" s="64">
        <v>240876.87</v>
      </c>
      <c r="C31" s="65">
        <v>149800.73660000003</v>
      </c>
    </row>
    <row r="32" spans="1:5" ht="15" hidden="1" x14ac:dyDescent="0.25">
      <c r="A32" s="62"/>
      <c r="B32" s="62"/>
      <c r="C32" s="63"/>
    </row>
    <row r="33" spans="1:3" ht="15" hidden="1" x14ac:dyDescent="0.25">
      <c r="A33" s="62"/>
      <c r="B33" s="62"/>
      <c r="C33" s="63"/>
    </row>
    <row r="34" spans="1:3" ht="15" hidden="1" x14ac:dyDescent="0.25">
      <c r="A34" s="66">
        <f>A29+A31</f>
        <v>3547976.35</v>
      </c>
      <c r="B34" s="66">
        <f>B29+B31</f>
        <v>1246389.51</v>
      </c>
      <c r="C34" s="67">
        <f>C29+C31</f>
        <v>4203326.8166000005</v>
      </c>
    </row>
    <row r="35" spans="1:3" ht="15" hidden="1" x14ac:dyDescent="0.25">
      <c r="A35" s="68"/>
      <c r="B35" s="68"/>
      <c r="C35" s="69"/>
    </row>
    <row r="36" spans="1:3" ht="15" hidden="1" x14ac:dyDescent="0.25">
      <c r="A36" s="70" t="s">
        <v>673</v>
      </c>
      <c r="B36" s="71">
        <f>B34*0.03</f>
        <v>37391.685299999997</v>
      </c>
      <c r="C36" s="72">
        <f>B36/C34</f>
        <v>8.8957359090734451E-3</v>
      </c>
    </row>
    <row r="37" spans="1:3" ht="15" hidden="1" x14ac:dyDescent="0.25">
      <c r="A37" s="47"/>
      <c r="B37" s="47"/>
      <c r="C37" s="47"/>
    </row>
    <row r="38" spans="1:3" ht="15" hidden="1" x14ac:dyDescent="0.25">
      <c r="A38" s="47"/>
      <c r="B38" s="47"/>
      <c r="C38" s="47"/>
    </row>
    <row r="39" spans="1:3" ht="15" hidden="1" x14ac:dyDescent="0.25">
      <c r="A39" s="47"/>
      <c r="B39" s="47"/>
      <c r="C39" s="47"/>
    </row>
    <row r="40" spans="1:3" ht="15" x14ac:dyDescent="0.25">
      <c r="A40" s="47"/>
      <c r="B40" s="47"/>
      <c r="C40" s="47"/>
    </row>
    <row r="41" spans="1:3" ht="15" hidden="1" x14ac:dyDescent="0.25">
      <c r="A41" s="47"/>
      <c r="B41" s="47"/>
      <c r="C41" s="47"/>
    </row>
    <row r="42" spans="1:3" ht="15" hidden="1" x14ac:dyDescent="0.25">
      <c r="A42" s="47"/>
      <c r="B42" s="47"/>
      <c r="C42" s="47"/>
    </row>
    <row r="43" spans="1:3" ht="15" hidden="1" x14ac:dyDescent="0.25">
      <c r="A43" s="47"/>
      <c r="B43" s="47"/>
      <c r="C43" s="47"/>
    </row>
    <row r="44" spans="1:3" ht="15" hidden="1" x14ac:dyDescent="0.25">
      <c r="A44" s="47"/>
      <c r="B44" s="47"/>
      <c r="C44" s="47"/>
    </row>
    <row r="45" spans="1:3" ht="15" hidden="1" x14ac:dyDescent="0.25">
      <c r="A45" s="73" t="e">
        <v>#REF!</v>
      </c>
      <c r="B45" s="73" t="e">
        <v>#REF!</v>
      </c>
      <c r="C45" s="73" t="e">
        <v>#REF!</v>
      </c>
    </row>
    <row r="46" spans="1:3" ht="15" hidden="1" x14ac:dyDescent="0.25">
      <c r="A46" s="73">
        <v>386882.52</v>
      </c>
      <c r="B46" s="73">
        <v>281762.02</v>
      </c>
      <c r="C46" s="73">
        <v>668644.54</v>
      </c>
    </row>
    <row r="47" spans="1:3" ht="15" hidden="1" x14ac:dyDescent="0.25">
      <c r="A47" s="47"/>
      <c r="B47" s="47"/>
      <c r="C47" s="47"/>
    </row>
    <row r="48" spans="1:3" ht="15" hidden="1" x14ac:dyDescent="0.25">
      <c r="A48" s="73" t="e">
        <f>SUM(A45:A47)</f>
        <v>#REF!</v>
      </c>
      <c r="B48" s="73" t="e">
        <f>SUM(B45:B47)</f>
        <v>#REF!</v>
      </c>
      <c r="C48" s="73" t="e">
        <f>SUM(C45:C47)</f>
        <v>#REF!</v>
      </c>
    </row>
    <row r="49" spans="1:6" ht="15" hidden="1" x14ac:dyDescent="0.25">
      <c r="A49" s="47"/>
      <c r="B49" s="47"/>
      <c r="C49" s="47"/>
    </row>
    <row r="50" spans="1:6" ht="15" hidden="1" x14ac:dyDescent="0.25">
      <c r="A50" s="47"/>
      <c r="B50" s="47" t="e">
        <f>B48*0.03</f>
        <v>#REF!</v>
      </c>
      <c r="C50" s="72" t="e">
        <f>B50/C48</f>
        <v>#REF!</v>
      </c>
    </row>
    <row r="51" spans="1:6" ht="15" hidden="1" x14ac:dyDescent="0.25">
      <c r="A51" s="47"/>
      <c r="B51" s="47"/>
      <c r="C51" s="47"/>
    </row>
    <row r="52" spans="1:6" ht="15" hidden="1" x14ac:dyDescent="0.25">
      <c r="A52" s="47">
        <v>1815164.9540829994</v>
      </c>
      <c r="B52" s="47">
        <v>1338490.8734638274</v>
      </c>
      <c r="C52" s="47">
        <v>3153655.8275468308</v>
      </c>
    </row>
    <row r="53" spans="1:6" ht="15" hidden="1" x14ac:dyDescent="0.25">
      <c r="A53" s="47">
        <v>416732.12270000007</v>
      </c>
      <c r="B53" s="47">
        <v>286852.43870000017</v>
      </c>
      <c r="C53" s="47">
        <v>703584.56139999989</v>
      </c>
    </row>
    <row r="54" spans="1:6" ht="15" hidden="1" x14ac:dyDescent="0.25">
      <c r="A54" s="47">
        <v>204334.73</v>
      </c>
      <c r="B54" s="47">
        <v>33185.179999999993</v>
      </c>
      <c r="C54" s="47">
        <v>237519.91</v>
      </c>
    </row>
    <row r="55" spans="1:6" ht="15" hidden="1" x14ac:dyDescent="0.25">
      <c r="A55" s="47">
        <f>SUM(A52:A54)</f>
        <v>2436231.8067829995</v>
      </c>
      <c r="B55" s="47">
        <f>SUM(B52:B54)</f>
        <v>1658528.4921638274</v>
      </c>
      <c r="C55" s="47">
        <f>SUM(C52:C54)</f>
        <v>4094760.2989468309</v>
      </c>
    </row>
    <row r="56" spans="1:6" ht="15" hidden="1" x14ac:dyDescent="0.25">
      <c r="A56" s="72">
        <f>A55/C55</f>
        <v>0.59496322835053284</v>
      </c>
      <c r="B56" s="72">
        <f>B55/C55</f>
        <v>0.40503677164946617</v>
      </c>
      <c r="C56" s="47"/>
    </row>
    <row r="57" spans="1:6" ht="15" hidden="1" x14ac:dyDescent="0.25">
      <c r="A57" s="47"/>
      <c r="B57" s="47">
        <f>B55*0.03</f>
        <v>49755.854764914824</v>
      </c>
      <c r="C57" s="72">
        <f>B57/C55</f>
        <v>1.2151103149483986E-2</v>
      </c>
    </row>
    <row r="58" spans="1:6" ht="15" hidden="1" x14ac:dyDescent="0.25">
      <c r="A58" s="47"/>
      <c r="B58" s="47"/>
      <c r="C58" s="47"/>
    </row>
    <row r="59" spans="1:6" ht="15" hidden="1" x14ac:dyDescent="0.25">
      <c r="A59" s="47"/>
      <c r="B59" s="47"/>
      <c r="C59" s="47"/>
    </row>
    <row r="60" spans="1:6" x14ac:dyDescent="0.2">
      <c r="A60" s="271"/>
      <c r="B60" s="272" t="s">
        <v>671</v>
      </c>
      <c r="C60" s="272" t="s">
        <v>672</v>
      </c>
      <c r="D60" s="273" t="s">
        <v>19</v>
      </c>
      <c r="E60" s="386" t="s">
        <v>1213</v>
      </c>
      <c r="F60" s="387"/>
    </row>
    <row r="61" spans="1:6" x14ac:dyDescent="0.2">
      <c r="A61" s="274" t="s">
        <v>19</v>
      </c>
      <c r="B61" s="275">
        <f>+'PLANILHA ANALÍTICA'!M1530</f>
        <v>55026.50568801567</v>
      </c>
      <c r="C61" s="276">
        <f>+'PLANILHA ANALÍTICA'!N1530</f>
        <v>8637.3491583952782</v>
      </c>
      <c r="D61" s="277">
        <f>B61+C61</f>
        <v>63663.854846410948</v>
      </c>
      <c r="E61" s="344">
        <f>C61*(5/100)</f>
        <v>431.86745791976392</v>
      </c>
      <c r="F61" s="278"/>
    </row>
    <row r="62" spans="1:6" ht="12" customHeight="1" x14ac:dyDescent="0.2">
      <c r="A62" s="279" t="s">
        <v>1212</v>
      </c>
      <c r="B62" s="280"/>
      <c r="C62" s="280"/>
      <c r="D62" s="280"/>
      <c r="E62" s="281"/>
      <c r="F62" s="282">
        <f>E61/D61</f>
        <v>6.7835580952746921E-3</v>
      </c>
    </row>
  </sheetData>
  <mergeCells count="11">
    <mergeCell ref="E60:F60"/>
    <mergeCell ref="A3:C4"/>
    <mergeCell ref="A6:B6"/>
    <mergeCell ref="A7:B7"/>
    <mergeCell ref="A8:B8"/>
    <mergeCell ref="A9:B9"/>
    <mergeCell ref="A16:B16"/>
    <mergeCell ref="A17:B17"/>
    <mergeCell ref="A18:B18"/>
    <mergeCell ref="A19:B19"/>
    <mergeCell ref="A10:A13"/>
  </mergeCells>
  <pageMargins left="0.511811024" right="0.511811024" top="0.78740157500000008" bottom="0.78740157500000008" header="0.31496062000000008" footer="0.31496062000000008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A s D A A B Q S w M E F A A C A A g A Z Y q 5 U o W B j P C k A A A A 9 g A A A B I A H A B D b 2 5 m a W c v U G F j a 2 F n Z S 5 4 b W w g o h g A K K A U A A A A A A A A A A A A A A A A A A A A A A A A A A A A e 7 9 7 v 4 1 9 R W 6 O Q l l q U X F m f p 6 t k q G e g Z J C c U l i X k p i T n 5 e q q 1 S X r 6 S v R 0 v l 0 1 A Y n J 2 Y n q q A l B 1 X r F V R X G K r V J G S U m B l b 5 + e X m 5 X r m x X n 5 R u r 6 R g Y G h f o S v T 3 B y R m p u o h J c c S Z h x b q Z e S B r k 1 O V 7 G z C I K 6 x M 9 K z B C I T E z 0 D G 3 2 Y m I 1 v Z h 5 C 3 g j o X p A s k q C N c 2 l O S W l R q l 1 B i a 5 T k I 0 + j G u j D / W C H Q B Q S w M E F A A C A A g A Z Y q 5 U l N y O C y b A A A A 4 Q A A A B M A H A B b Q 2 9 u d G V u d F 9 U e X B l c 1 0 u e G 1 s I K I Y A C i g F A A A A A A A A A A A A A A A A A A A A A A A A A A A A G 2 O P Q 7 C M A x G r x J 5 b 1 0 Y E E J N G Y A b c I E o u D + i c a L G R e V s D B y J K 5 C 2 a 0 d / f s + f f 5 9 v e Z 5 c r 1 4 0 x M 6 z h l 1 e g C K 2 / t F x o 2 G U O j v C u S r v 7 0 B R J Z S j h l Y k n B C j b c m Z m P t A n D a 1 H 5 y R N A 4 N B m O f p i H c F 8 U B r W c h l k z m G 1 C V V 6 r N 2 I u 6 T S l e a 5 M O 6 r J y c 5 U G o U l w i X H T c F t 8 6 E 3 H i 4 H L w 9 U f U E s D B B Q A A g A I A G W K u V I o i k e 4 D g A A A B E A A A A T A B w A R m 9 y b X V s Y X M v U 2 V j d G l v b j E u b S C i G A A o o B Q A A A A A A A A A A A A A A A A A A A A A A A A A A A A r T k 0 u y c z P U w i G 0 I b W A F B L A Q I t A B Q A A g A I A G W K u V K F g Y z w p A A A A P Y A A A A S A A A A A A A A A A A A A A A A A A A A A A B D b 2 5 m a W c v U G F j a 2 F n Z S 5 4 b W x Q S w E C L Q A U A A I A C A B l i r l S U 3 I 4 L J s A A A D h A A A A E w A A A A A A A A A A A A A A A A D w A A A A W 0 N v b n R l b n R f V H l w Z X N d L n h t b F B L A Q I t A B Q A A g A I A G W K u V I o i k e 4 D g A A A B E A A A A T A A A A A A A A A A A A A A A A A N g B A A B G b 3 J t d W x h c y 9 T Z W N 0 a W 9 u M S 5 t U E s F B g A A A A A D A A M A w g A A A D M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S D K O N y G C K T 7 B g q W P 5 F L 8 K A A A A A A I A A A A A A B B m A A A A A Q A A I A A A A E u d R L I 7 W j j j h t p S r E 5 k 6 Q H q 0 5 5 D j i 2 v x u X g 8 z v d m 3 h G A A A A A A 6 A A A A A A g A A I A A A A P x Z y 0 1 n H m 2 U g Y g Q n + a r a 7 V I z 6 O H 4 g Q 4 Z k B M X e 0 j 8 I W W U A A A A A o K 1 + G o Q s g 3 d 5 E h r t g J Q E U M d V K 4 Z C K c k O a x I T M C 0 A H f e s l 8 T R d d m f 1 S 0 z i T Y H D K 0 h j n S g B z C 7 b 3 e Q A Z U T J c / B Z d p e o e 9 9 8 g j U l 7 w s O x 1 v m K Q A A A A A S a Q b 3 i / X K A S / 5 + 0 B x 4 v N q p e X j n g v V 0 k N p l 8 E x v T m 4 n 2 + N T q O e 2 s N p v R t H g A P 7 3 m c d S T U B y u o M 5 Z Q m X p u D c r Q w = < / D a t a M a s h u p > 
</file>

<file path=customXml/itemProps1.xml><?xml version="1.0" encoding="utf-8"?>
<ds:datastoreItem xmlns:ds="http://schemas.openxmlformats.org/officeDocument/2006/customXml" ds:itemID="{E7E24754-6D32-442A-81FE-5FAA87EB64F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RESUMO GERAL</vt:lpstr>
      <vt:lpstr>PLANILHA ANALÍTICA</vt:lpstr>
      <vt:lpstr>MAPA COTAÇÕES CIVIL</vt:lpstr>
      <vt:lpstr>MAPA COTAÇÕES ELÉTRICA</vt:lpstr>
      <vt:lpstr>BDI SERVIÇOS</vt:lpstr>
      <vt:lpstr>'PLANILHA ANALÍTICA'!Area_de_impressao</vt:lpstr>
      <vt:lpstr>'RESUMO GERAL'!Area_de_impressao</vt:lpstr>
      <vt:lpstr>PLAN</vt:lpstr>
      <vt:lpstr>'RESUMO GERAL'!Titulos_de_impressao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Regina</dc:creator>
  <cp:lastModifiedBy>Patricia Bruel</cp:lastModifiedBy>
  <cp:revision>1</cp:revision>
  <cp:lastPrinted>2021-12-01T15:51:22Z</cp:lastPrinted>
  <dcterms:created xsi:type="dcterms:W3CDTF">2020-09-10T19:22:30Z</dcterms:created>
  <dcterms:modified xsi:type="dcterms:W3CDTF">2021-12-09T14:01:46Z</dcterms:modified>
</cp:coreProperties>
</file>