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1630" windowHeight="4830"/>
  </bookViews>
  <sheets>
    <sheet name="Plan1" sheetId="1" r:id="rId1"/>
  </sheets>
  <calcPr calcId="145621"/>
</workbook>
</file>

<file path=xl/calcChain.xml><?xml version="1.0" encoding="utf-8"?>
<calcChain xmlns="http://schemas.openxmlformats.org/spreadsheetml/2006/main">
  <c r="G58" i="1" l="1"/>
  <c r="F58" i="1"/>
  <c r="H18" i="1"/>
  <c r="K18" i="1" s="1"/>
  <c r="E18" i="1"/>
  <c r="J18" i="1" s="1"/>
  <c r="E40" i="1"/>
  <c r="E55" i="1"/>
  <c r="G37" i="1" l="1"/>
  <c r="F37" i="1"/>
  <c r="G13" i="1"/>
  <c r="F13" i="1"/>
  <c r="G40" i="1"/>
  <c r="F40" i="1"/>
  <c r="I5" i="1" l="1"/>
  <c r="I6" i="1"/>
  <c r="I8" i="1"/>
  <c r="I9" i="1"/>
  <c r="I10" i="1"/>
  <c r="I11" i="1"/>
  <c r="I12" i="1"/>
  <c r="I14" i="1"/>
  <c r="I15" i="1"/>
  <c r="I16" i="1"/>
  <c r="I17" i="1"/>
  <c r="I24" i="1"/>
  <c r="I26" i="1"/>
  <c r="I27" i="1"/>
  <c r="I28" i="1"/>
  <c r="I29" i="1"/>
  <c r="I30" i="1"/>
  <c r="I31" i="1"/>
  <c r="I32" i="1"/>
  <c r="I33" i="1"/>
  <c r="I34" i="1"/>
  <c r="I35" i="1"/>
  <c r="I36" i="1"/>
  <c r="I38" i="1"/>
  <c r="I41" i="1"/>
  <c r="I42" i="1"/>
  <c r="I43" i="1"/>
  <c r="I44" i="1"/>
  <c r="I46" i="1"/>
  <c r="I47" i="1"/>
  <c r="I48" i="1"/>
  <c r="I51" i="1"/>
  <c r="I52" i="1"/>
  <c r="I53" i="1"/>
  <c r="I54" i="1"/>
  <c r="I56" i="1"/>
  <c r="I57" i="1"/>
  <c r="I58" i="1"/>
  <c r="I59" i="1"/>
  <c r="I60" i="1"/>
  <c r="I61" i="1"/>
  <c r="I62" i="1"/>
  <c r="I63" i="1"/>
  <c r="I4" i="1"/>
  <c r="J5" i="1"/>
  <c r="J26" i="1"/>
  <c r="J35" i="1"/>
  <c r="J39" i="1"/>
  <c r="J46" i="1"/>
  <c r="J47" i="1"/>
  <c r="J55" i="1"/>
  <c r="J56" i="1"/>
  <c r="J58" i="1"/>
  <c r="J59" i="1"/>
  <c r="J61" i="1"/>
  <c r="J62" i="1"/>
  <c r="H21" i="1" l="1"/>
  <c r="K21" i="1" s="1"/>
  <c r="H39" i="1"/>
  <c r="K39" i="1" s="1"/>
  <c r="F25" i="1" l="1"/>
  <c r="G25" i="1"/>
  <c r="J25" i="1" s="1"/>
  <c r="G24" i="1"/>
  <c r="J24" i="1" s="1"/>
  <c r="F24" i="1"/>
  <c r="H24" i="1" s="1"/>
  <c r="K24" i="1" s="1"/>
  <c r="G17" i="1"/>
  <c r="J17" i="1" s="1"/>
  <c r="F17" i="1"/>
  <c r="G16" i="1"/>
  <c r="J16" i="1" s="1"/>
  <c r="F16" i="1"/>
  <c r="H16" i="1" s="1"/>
  <c r="K16" i="1" s="1"/>
  <c r="G15" i="1"/>
  <c r="J15" i="1" s="1"/>
  <c r="F15" i="1"/>
  <c r="G14" i="1"/>
  <c r="J14" i="1" s="1"/>
  <c r="F14" i="1"/>
  <c r="H14" i="1" s="1"/>
  <c r="K14" i="1" s="1"/>
  <c r="G12" i="1"/>
  <c r="J12" i="1" s="1"/>
  <c r="F12" i="1"/>
  <c r="H12" i="1" s="1"/>
  <c r="K12" i="1" s="1"/>
  <c r="G11" i="1"/>
  <c r="J11" i="1" s="1"/>
  <c r="F11" i="1"/>
  <c r="G10" i="1"/>
  <c r="J10" i="1" s="1"/>
  <c r="F10" i="1"/>
  <c r="H10" i="1" s="1"/>
  <c r="K10" i="1" s="1"/>
  <c r="G9" i="1"/>
  <c r="J9" i="1" s="1"/>
  <c r="F9" i="1"/>
  <c r="G8" i="1"/>
  <c r="J8" i="1" s="1"/>
  <c r="F8" i="1"/>
  <c r="H8" i="1" s="1"/>
  <c r="K8" i="1" s="1"/>
  <c r="G7" i="1"/>
  <c r="J7" i="1" s="1"/>
  <c r="F7" i="1"/>
  <c r="G6" i="1"/>
  <c r="J6" i="1" s="1"/>
  <c r="F6" i="1"/>
  <c r="H6" i="1" s="1"/>
  <c r="K6" i="1" s="1"/>
  <c r="F5" i="1"/>
  <c r="H5" i="1" s="1"/>
  <c r="K5" i="1" s="1"/>
  <c r="G4" i="1"/>
  <c r="J4" i="1" s="1"/>
  <c r="F4" i="1"/>
  <c r="H4" i="1" s="1"/>
  <c r="K4" i="1" s="1"/>
  <c r="H25" i="1" l="1"/>
  <c r="K25" i="1" s="1"/>
  <c r="H7" i="1"/>
  <c r="K7" i="1" s="1"/>
  <c r="H9" i="1"/>
  <c r="K9" i="1" s="1"/>
  <c r="H11" i="1"/>
  <c r="K11" i="1" s="1"/>
  <c r="H15" i="1"/>
  <c r="K15" i="1" s="1"/>
  <c r="H17" i="1"/>
  <c r="K17" i="1" s="1"/>
  <c r="F26" i="1"/>
  <c r="H26" i="1" s="1"/>
  <c r="K26" i="1" s="1"/>
  <c r="F27" i="1"/>
  <c r="G27" i="1"/>
  <c r="J27" i="1" s="1"/>
  <c r="G28" i="1"/>
  <c r="J28" i="1" s="1"/>
  <c r="F28" i="1"/>
  <c r="F29" i="1"/>
  <c r="G29" i="1"/>
  <c r="J29" i="1" s="1"/>
  <c r="G30" i="1"/>
  <c r="J30" i="1" s="1"/>
  <c r="F30" i="1"/>
  <c r="G31" i="1"/>
  <c r="J31" i="1" s="1"/>
  <c r="F31" i="1"/>
  <c r="G32" i="1"/>
  <c r="J32" i="1" s="1"/>
  <c r="F32" i="1"/>
  <c r="G33" i="1"/>
  <c r="J33" i="1" s="1"/>
  <c r="F33" i="1"/>
  <c r="G34" i="1"/>
  <c r="J34" i="1" s="1"/>
  <c r="F34" i="1"/>
  <c r="F35" i="1"/>
  <c r="H35" i="1" s="1"/>
  <c r="K35" i="1" s="1"/>
  <c r="J36" i="1"/>
  <c r="G38" i="1"/>
  <c r="J38" i="1" s="1"/>
  <c r="F38" i="1"/>
  <c r="H38" i="1" s="1"/>
  <c r="K38" i="1" s="1"/>
  <c r="G41" i="1"/>
  <c r="J41" i="1" s="1"/>
  <c r="F41" i="1"/>
  <c r="G42" i="1"/>
  <c r="J42" i="1" s="1"/>
  <c r="F42" i="1"/>
  <c r="H42" i="1" s="1"/>
  <c r="K42" i="1" s="1"/>
  <c r="G43" i="1"/>
  <c r="J43" i="1" s="1"/>
  <c r="F43" i="1"/>
  <c r="G44" i="1"/>
  <c r="J44" i="1" s="1"/>
  <c r="F44" i="1"/>
  <c r="H44" i="1" s="1"/>
  <c r="K44" i="1" s="1"/>
  <c r="G45" i="1"/>
  <c r="F45" i="1"/>
  <c r="F46" i="1"/>
  <c r="H46" i="1" s="1"/>
  <c r="K46" i="1" s="1"/>
  <c r="H29" i="1" l="1"/>
  <c r="K29" i="1" s="1"/>
  <c r="H27" i="1"/>
  <c r="K27" i="1" s="1"/>
  <c r="H43" i="1"/>
  <c r="K43" i="1" s="1"/>
  <c r="H41" i="1"/>
  <c r="K41" i="1" s="1"/>
  <c r="H36" i="1"/>
  <c r="K36" i="1" s="1"/>
  <c r="H37" i="1"/>
  <c r="H34" i="1"/>
  <c r="K34" i="1" s="1"/>
  <c r="H32" i="1"/>
  <c r="K32" i="1" s="1"/>
  <c r="H30" i="1"/>
  <c r="K30" i="1" s="1"/>
  <c r="H28" i="1"/>
  <c r="K28" i="1" s="1"/>
  <c r="H33" i="1"/>
  <c r="K33" i="1" s="1"/>
  <c r="H31" i="1"/>
  <c r="K31" i="1" s="1"/>
  <c r="F47" i="1"/>
  <c r="H47" i="1" s="1"/>
  <c r="K47" i="1" s="1"/>
  <c r="G48" i="1"/>
  <c r="J48" i="1" s="1"/>
  <c r="F48" i="1"/>
  <c r="G49" i="1"/>
  <c r="J49" i="1" s="1"/>
  <c r="F49" i="1"/>
  <c r="H49" i="1" s="1"/>
  <c r="K49" i="1" s="1"/>
  <c r="G50" i="1"/>
  <c r="F50" i="1"/>
  <c r="H50" i="1" s="1"/>
  <c r="K50" i="1" s="1"/>
  <c r="G51" i="1"/>
  <c r="J51" i="1" s="1"/>
  <c r="F51" i="1"/>
  <c r="H51" i="1" s="1"/>
  <c r="K51" i="1" s="1"/>
  <c r="G52" i="1"/>
  <c r="J52" i="1" s="1"/>
  <c r="F52" i="1"/>
  <c r="H52" i="1" s="1"/>
  <c r="K52" i="1" s="1"/>
  <c r="G53" i="1"/>
  <c r="J53" i="1" s="1"/>
  <c r="F53" i="1"/>
  <c r="H53" i="1" s="1"/>
  <c r="K53" i="1" s="1"/>
  <c r="G54" i="1"/>
  <c r="J54" i="1" s="1"/>
  <c r="F54" i="1"/>
  <c r="H54" i="1" s="1"/>
  <c r="K54" i="1" s="1"/>
  <c r="G63" i="1"/>
  <c r="J63" i="1" s="1"/>
  <c r="F55" i="1"/>
  <c r="H55" i="1" s="1"/>
  <c r="K55" i="1" s="1"/>
  <c r="H48" i="1" l="1"/>
  <c r="K48" i="1" s="1"/>
  <c r="H59" i="1"/>
  <c r="K59" i="1" s="1"/>
  <c r="H58" i="1"/>
  <c r="K58" i="1" s="1"/>
  <c r="F56" i="1"/>
  <c r="H56" i="1" s="1"/>
  <c r="K56" i="1" s="1"/>
  <c r="F57" i="1"/>
  <c r="G57" i="1"/>
  <c r="J57" i="1" s="1"/>
  <c r="G60" i="1"/>
  <c r="J60" i="1" s="1"/>
  <c r="F60" i="1"/>
  <c r="E45" i="1"/>
  <c r="J45" i="1" s="1"/>
  <c r="E23" i="1"/>
  <c r="I23" i="1" s="1"/>
  <c r="F62" i="1"/>
  <c r="H62" i="1" s="1"/>
  <c r="K62" i="1" s="1"/>
  <c r="F63" i="1"/>
  <c r="H63" i="1" s="1"/>
  <c r="K63" i="1" s="1"/>
  <c r="F61" i="1"/>
  <c r="H61" i="1" s="1"/>
  <c r="K61" i="1" s="1"/>
  <c r="H60" i="1" l="1"/>
  <c r="K60" i="1" s="1"/>
  <c r="H45" i="1"/>
  <c r="K45" i="1" s="1"/>
  <c r="H40" i="1"/>
  <c r="K40" i="1" s="1"/>
  <c r="H57" i="1"/>
  <c r="K57" i="1" s="1"/>
  <c r="E20" i="1"/>
  <c r="E13" i="1"/>
  <c r="H13" i="1" l="1"/>
  <c r="K13" i="1" s="1"/>
  <c r="J13" i="1"/>
  <c r="J23" i="1" l="1"/>
  <c r="H22" i="1" l="1"/>
  <c r="H19" i="1"/>
  <c r="K19" i="1" s="1"/>
  <c r="H20" i="1"/>
  <c r="H23" i="1"/>
  <c r="K23" i="1" s="1"/>
</calcChain>
</file>

<file path=xl/comments1.xml><?xml version="1.0" encoding="utf-8"?>
<comments xmlns="http://schemas.openxmlformats.org/spreadsheetml/2006/main">
  <authors>
    <author>Elizângela Gomes Barboza</author>
  </authors>
  <commentList>
    <comment ref="I3" authorId="0">
      <text>
        <r>
          <rPr>
            <sz val="9"/>
            <color indexed="81"/>
            <rFont val="Tahoma"/>
            <family val="2"/>
          </rPr>
          <t>15% sobre valor da befeitoria ou valor 300mil</t>
        </r>
      </text>
    </comment>
    <comment ref="J3" authorId="0">
      <text>
        <r>
          <rPr>
            <sz val="9"/>
            <color indexed="81"/>
            <rFont val="Tahoma"/>
            <family val="2"/>
          </rPr>
          <t>1% sobre a benfeitoria + 20% sobre valor do material de informática ou no máximo 200mil</t>
        </r>
      </text>
    </comment>
    <comment ref="K3" authorId="0">
      <text>
        <r>
          <rPr>
            <sz val="9"/>
            <color indexed="81"/>
            <rFont val="Tahoma"/>
            <family val="2"/>
          </rPr>
          <t>1% sobre valor segurado + valor para telhado (setoriais e cajuru 100mil, outros 50mil) com teto de 300 mil</t>
        </r>
      </text>
    </comment>
    <comment ref="I18" authorId="0">
      <text>
        <r>
          <rPr>
            <sz val="9"/>
            <color indexed="81"/>
            <rFont val="Tahoma"/>
            <family val="2"/>
          </rPr>
          <t>Prédio sem ocupação, em proceso de reforma.</t>
        </r>
      </text>
    </comment>
  </commentList>
</comments>
</file>

<file path=xl/sharedStrings.xml><?xml version="1.0" encoding="utf-8"?>
<sst xmlns="http://schemas.openxmlformats.org/spreadsheetml/2006/main" count="443" uniqueCount="164">
  <si>
    <t>ITEM</t>
  </si>
  <si>
    <t>LOCALIDADE</t>
  </si>
  <si>
    <t>ENDEREÇO</t>
  </si>
  <si>
    <t>CONSTRUÇÃO/ OCUPAÇÃO</t>
  </si>
  <si>
    <t>VALOR SEGURADO</t>
  </si>
  <si>
    <t>DANOS ELÉTRICOS</t>
  </si>
  <si>
    <t>APUCARANA</t>
  </si>
  <si>
    <t>Sólida/escritório/ arquivo</t>
  </si>
  <si>
    <t>ARAPONGAS</t>
  </si>
  <si>
    <t>Sólida/escritório</t>
  </si>
  <si>
    <t>ARAUCÁRIA</t>
  </si>
  <si>
    <t>ASSIS CHATEAUBRIAND</t>
  </si>
  <si>
    <t>CAMPO MOURÃO</t>
  </si>
  <si>
    <t>CASCAVEL</t>
  </si>
  <si>
    <t>Superior/escritório/ almox</t>
  </si>
  <si>
    <t>CASTRO</t>
  </si>
  <si>
    <t>CIANORTE</t>
  </si>
  <si>
    <t>CORNÉLIO PROCÓPIO</t>
  </si>
  <si>
    <t>CURITIBA</t>
  </si>
  <si>
    <t>Superior/escritório</t>
  </si>
  <si>
    <t>Sólida/arquivo/ almox</t>
  </si>
  <si>
    <t>Arquivo</t>
  </si>
  <si>
    <t>FRANCISCO BELTRÃO</t>
  </si>
  <si>
    <t>Rua Tenente Camargo, 2322</t>
  </si>
  <si>
    <t>GUARAPUAVA</t>
  </si>
  <si>
    <t>Rua Euclides Monteiro, 729</t>
  </si>
  <si>
    <t>Sólido/escritório</t>
  </si>
  <si>
    <t>IRATI</t>
  </si>
  <si>
    <t>Rua Lino Esculápio, 1260</t>
  </si>
  <si>
    <t>IVAIPORÃ</t>
  </si>
  <si>
    <t>Av. Brasil, 345</t>
  </si>
  <si>
    <t>JACAREZINHO</t>
  </si>
  <si>
    <t>Rua Dom Fernando Tadei, 1636</t>
  </si>
  <si>
    <t>JAGUARIAÍVA</t>
  </si>
  <si>
    <t>Rua Tenente Cel. Joaquim Carneiro,331</t>
  </si>
  <si>
    <t>LARANJEIRAS DO SUL</t>
  </si>
  <si>
    <t>Rua Mal. Cândido Rondon, 1975</t>
  </si>
  <si>
    <t>LONDRINA</t>
  </si>
  <si>
    <t>Rua Dom João VI,395</t>
  </si>
  <si>
    <t>Sólida/escritório/ arquivo/almox</t>
  </si>
  <si>
    <t>MAL. CANDIDO RONDON</t>
  </si>
  <si>
    <t>Rua Pastor Mayer,799</t>
  </si>
  <si>
    <t>MARINGÁ</t>
  </si>
  <si>
    <t>Pç. Dep. Renato Celidônio, 575</t>
  </si>
  <si>
    <t>Av. Gastão Vidigal, 623</t>
  </si>
  <si>
    <t>Av. Pedro Seccol, 2500</t>
  </si>
  <si>
    <t>NOVA ESPERANÇA</t>
  </si>
  <si>
    <t>Rua Ipiranga, 716</t>
  </si>
  <si>
    <t>PARANAGUÁ</t>
  </si>
  <si>
    <t>R. Manoel Pereira esq. R. Odilon Mader</t>
  </si>
  <si>
    <t>PARANAVAÍ</t>
  </si>
  <si>
    <t>R. Antonio Vendramin, 2150</t>
  </si>
  <si>
    <t>PINHAIS</t>
  </si>
  <si>
    <t>Rua Américado Sul, snº.</t>
  </si>
  <si>
    <t>Sólida, escritório/arquivo</t>
  </si>
  <si>
    <t>R. Caetano Munhoz da Rocha, 1484</t>
  </si>
  <si>
    <t>PATO BRANCO</t>
  </si>
  <si>
    <t>PONTA GROSSA</t>
  </si>
  <si>
    <t>Rua Belo Horizonte, 434</t>
  </si>
  <si>
    <t>ROLÂNDIA</t>
  </si>
  <si>
    <t>Av. Presidente Vargas, 2270</t>
  </si>
  <si>
    <t>S. ANTONIO DA PLATINA</t>
  </si>
  <si>
    <t>R. Nações Unidas, 1101 – Cidade Jardim</t>
  </si>
  <si>
    <t>R. Dom Pedro II, 842/844</t>
  </si>
  <si>
    <t>TELEMACO BORBA</t>
  </si>
  <si>
    <t>TOLEDO</t>
  </si>
  <si>
    <t>UMUARAMA</t>
  </si>
  <si>
    <t>UNIÃO DA VITÓRIA</t>
  </si>
  <si>
    <t>WENCESLAU BRAZ</t>
  </si>
  <si>
    <t>RESPONS. CIVIL</t>
  </si>
  <si>
    <t>Valor de Mobiliário</t>
  </si>
  <si>
    <t>Valor de Benfeitoria</t>
  </si>
  <si>
    <t>Rua  Doutor Bernardo Ribeiro Viana, 976</t>
  </si>
  <si>
    <t>Rua Antonio Ostrenski, 3936 - Centro</t>
  </si>
  <si>
    <t>R. dos Expedicionários, 20 - Centro</t>
  </si>
  <si>
    <t>Praça Prefeito Pedro Zanusso, 236, Centro</t>
  </si>
  <si>
    <t>R. Ermelino de Leão esq. com R. Maria Rita Perpétua da Cruz - Olarias</t>
  </si>
  <si>
    <t>Rua Paraná, 1547 (esq. R. Pio XII) - Centro</t>
  </si>
  <si>
    <t>Rua Emiliano Perneta, 480 - Centro</t>
  </si>
  <si>
    <t>Rua  São Paulo, 95 - Vila Feliz</t>
  </si>
  <si>
    <t>Avenida  Paraná, 78 - Vila Ivone</t>
  </si>
  <si>
    <t>Rua Alfred Charvet, 862 - Vila Nova</t>
  </si>
  <si>
    <t>Av. Cívica,260 - Jardim América</t>
  </si>
  <si>
    <t>Av. Bandeirantes, 925 - Centro</t>
  </si>
  <si>
    <t>Av General Stilac Leal, 1472 - Centro</t>
  </si>
  <si>
    <t>R. Cel. João Gualberto, 330 - Centro</t>
  </si>
  <si>
    <t>Av. Rio Branco, 3700 – Zona 1 - Centro Cívico</t>
  </si>
  <si>
    <t>R. Santos Dumont, 3080 - Centro</t>
  </si>
  <si>
    <t>Rua Gov. Bento Munhoz da Rocha Neto, 344 - Macopa</t>
  </si>
  <si>
    <t>R. 13 de Maio, 167 esq R. Joaquim R. Mendes - Centro</t>
  </si>
  <si>
    <t>Rua Dr. Vicente Machado,561 - Centro</t>
  </si>
  <si>
    <t>Rua Hárpia, 405 - Centro</t>
  </si>
  <si>
    <t>Av. da Esperança, 360 - Conjunto Habitacional Tancredo de Almeida Neves</t>
  </si>
  <si>
    <t>Av.Padre Natal Pigatto,1675 - Vila Elizabeth</t>
  </si>
  <si>
    <t>Av. Goioerê, 779 - Centro</t>
  </si>
  <si>
    <t>Rua Galibis, 328 - Parque Santo Onofre</t>
  </si>
  <si>
    <t>R. Dom Pedro II, 1027 - Centro</t>
  </si>
  <si>
    <t>Travessa Itororó, 188 - Centro</t>
  </si>
  <si>
    <t>Rua José Cavassin, 125 - Centro</t>
  </si>
  <si>
    <t>Rua Paraíba, 189 - Centro</t>
  </si>
  <si>
    <t>Av. Vicente Machado, 147 - Centro</t>
  </si>
  <si>
    <t>Av. Vicente Machado, 400 - Centro</t>
  </si>
  <si>
    <t>Rua Vidal Natividade da Silva, 600 -  Cajuru</t>
  </si>
  <si>
    <t>Alameda Carlos de Carvalho, 528 - Centro</t>
  </si>
  <si>
    <t>Av. Dedi Barrichello Montagner, 191 - Centro</t>
  </si>
  <si>
    <t>Rua Santos Dumont, 460 - Centro</t>
  </si>
  <si>
    <t>Rua Marechal Floriano, 1738 Sala 4 - Centro</t>
  </si>
  <si>
    <t>Av.Mauro Mori,560 - Centro</t>
  </si>
  <si>
    <t>Rua Afonso Botelho, 104 - Centro</t>
  </si>
  <si>
    <t>Valor de informática</t>
  </si>
  <si>
    <t>QTDE POSTOS / Nº HRS</t>
  </si>
  <si>
    <t>1 posto 24 hrs</t>
  </si>
  <si>
    <t>X</t>
  </si>
  <si>
    <t xml:space="preserve">1 posto 24 hrs </t>
  </si>
  <si>
    <t xml:space="preserve">1 posto 24 hrs  </t>
  </si>
  <si>
    <t>CFTV + CCO com PVA 24 hrs</t>
  </si>
  <si>
    <t>SPDA</t>
  </si>
  <si>
    <t>EXTINTOR</t>
  </si>
  <si>
    <t>HIDRANTE/
MANGUEIRA</t>
  </si>
  <si>
    <t>ALARME DE INCÊNDIO E SISTEMA DE DETECÇÃO</t>
  </si>
  <si>
    <t>ALARME DE INCÊNDIO E SEM SISTEMA DE DETECÇÃO</t>
  </si>
  <si>
    <t>ALARME DE
INTRUSÃO</t>
  </si>
  <si>
    <t>QTDE
ASJ</t>
  </si>
  <si>
    <t>VENDAVAL e GRANIZO</t>
  </si>
  <si>
    <t xml:space="preserve">
2 postos 24 hrs</t>
  </si>
  <si>
    <t xml:space="preserve"> 1 posto 24 hrs</t>
  </si>
  <si>
    <t xml:space="preserve"> 2 postos 24 hrs
</t>
  </si>
  <si>
    <t>Avenida XV de Novembro nº 830, Centro</t>
  </si>
  <si>
    <t>Desocupado</t>
  </si>
  <si>
    <t>Rua Fioravante Marini, 255</t>
  </si>
  <si>
    <t>1 posto 24 hrs
3 postos 8 hrs</t>
  </si>
  <si>
    <t xml:space="preserve"> 2 postos 24 hrs 2 postos horas</t>
  </si>
  <si>
    <t>1 posto 12x36 hrs</t>
  </si>
  <si>
    <t xml:space="preserve"> 1 posto 12x36 hrs</t>
  </si>
  <si>
    <t>1 posto 12 x36 hrs</t>
  </si>
  <si>
    <t xml:space="preserve">1 posto 12x36 hrs  
</t>
  </si>
  <si>
    <t>1 posto 12 x 36 hrs</t>
  </si>
  <si>
    <t xml:space="preserve">1 posto 12x36 hrs </t>
  </si>
  <si>
    <t xml:space="preserve">1 posto 12x 36 hrs </t>
  </si>
  <si>
    <t>Imóvel cedido¹</t>
  </si>
  <si>
    <t>Imóvel em comodato²</t>
  </si>
  <si>
    <t>Imóveis alugados de terceiros³</t>
  </si>
  <si>
    <t>APUCARANA³</t>
  </si>
  <si>
    <t>BANDEIRANTES²</t>
  </si>
  <si>
    <t>CAMBÉ²</t>
  </si>
  <si>
    <t>CAMPO LARGO¹ ° ³</t>
  </si>
  <si>
    <t>COLOMBO ¹</t>
  </si>
  <si>
    <t>CORNÉLIO PROCÓPIO³</t>
  </si>
  <si>
    <t>CURITIBA³</t>
  </si>
  <si>
    <t>DOIS VIZINHOS¹</t>
  </si>
  <si>
    <t>FOZ DO IGUAÇU³</t>
  </si>
  <si>
    <t>GOIOERÊ¹</t>
  </si>
  <si>
    <t>IBAITI¹</t>
  </si>
  <si>
    <t>LOANDA¹</t>
  </si>
  <si>
    <t>MEDIANEIRA¹ °³</t>
  </si>
  <si>
    <t>PALMAS²</t>
  </si>
  <si>
    <t>PALOTINA¹</t>
  </si>
  <si>
    <t>PITANGA¹</t>
  </si>
  <si>
    <t>PORECATU²</t>
  </si>
  <si>
    <t>RIO NEGRO³</t>
  </si>
  <si>
    <t>SÃO JOSÉ DOS PINHAIS³</t>
  </si>
  <si>
    <t>SÃO MATEUS DO SUL¹</t>
  </si>
  <si>
    <t>TOLEDO³</t>
  </si>
  <si>
    <t>UMUARAMA 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</si>
</sst>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  <xf numFmtId="0" fontId="0" fillId="0" borderId="1" xfId="0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3" borderId="1" xfId="0" applyFont="1" applyFill="1" applyBorder="1"/>
    <xf numFmtId="0" fontId="6" fillId="0" borderId="1" xfId="0" applyFont="1" applyBorder="1"/>
    <xf numFmtId="0" fontId="6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74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P1"/>
    </sheetView>
  </sheetViews>
  <sheetFormatPr defaultRowHeight="15" x14ac:dyDescent="0.25"/>
  <cols>
    <col min="1" max="1" width="6.42578125" customWidth="1"/>
    <col min="2" max="2" width="19.7109375" customWidth="1"/>
    <col min="3" max="3" width="38.28515625" customWidth="1"/>
    <col min="4" max="4" width="21" customWidth="1"/>
    <col min="5" max="5" width="15.28515625" customWidth="1"/>
    <col min="6" max="6" width="14.5703125" customWidth="1"/>
    <col min="7" max="7" width="14" style="9" customWidth="1"/>
    <col min="8" max="8" width="15.42578125" customWidth="1"/>
    <col min="9" max="9" width="14.140625" customWidth="1"/>
    <col min="10" max="10" width="13.85546875" customWidth="1"/>
    <col min="11" max="11" width="13.140625" customWidth="1"/>
    <col min="12" max="12" width="15.85546875" style="28" customWidth="1"/>
    <col min="13" max="13" width="5.85546875" style="22" customWidth="1"/>
    <col min="14" max="14" width="10.85546875" style="15" customWidth="1"/>
    <col min="15" max="15" width="11.7109375" customWidth="1"/>
    <col min="16" max="16" width="9.42578125" style="28" customWidth="1"/>
    <col min="17" max="17" width="7.42578125" style="15" customWidth="1"/>
    <col min="18" max="18" width="10.85546875" customWidth="1"/>
    <col min="19" max="19" width="12.7109375" customWidth="1"/>
    <col min="20" max="20" width="10.5703125" customWidth="1"/>
  </cols>
  <sheetData>
    <row r="1" spans="1:20" ht="24" thickBot="1" x14ac:dyDescent="0.4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20" ht="15.75" thickTop="1" x14ac:dyDescent="0.25"/>
    <row r="3" spans="1:20" ht="81" customHeight="1" x14ac:dyDescent="0.25">
      <c r="A3" s="7" t="s">
        <v>0</v>
      </c>
      <c r="B3" s="7" t="s">
        <v>1</v>
      </c>
      <c r="C3" s="7" t="s">
        <v>2</v>
      </c>
      <c r="D3" s="7" t="s">
        <v>3</v>
      </c>
      <c r="E3" s="7" t="s">
        <v>71</v>
      </c>
      <c r="F3" s="7" t="s">
        <v>70</v>
      </c>
      <c r="G3" s="7" t="s">
        <v>109</v>
      </c>
      <c r="H3" s="7" t="s">
        <v>4</v>
      </c>
      <c r="I3" s="7" t="s">
        <v>69</v>
      </c>
      <c r="J3" s="7" t="s">
        <v>5</v>
      </c>
      <c r="K3" s="7" t="s">
        <v>123</v>
      </c>
      <c r="L3" s="21" t="s">
        <v>110</v>
      </c>
      <c r="M3" s="21" t="s">
        <v>122</v>
      </c>
      <c r="N3" s="7" t="s">
        <v>119</v>
      </c>
      <c r="O3" s="7" t="s">
        <v>120</v>
      </c>
      <c r="P3" s="21" t="s">
        <v>115</v>
      </c>
      <c r="Q3" s="7" t="s">
        <v>116</v>
      </c>
      <c r="R3" s="17" t="s">
        <v>117</v>
      </c>
      <c r="S3" s="7" t="s">
        <v>118</v>
      </c>
      <c r="T3" s="7" t="s">
        <v>121</v>
      </c>
    </row>
    <row r="4" spans="1:20" ht="30" x14ac:dyDescent="0.25">
      <c r="A4" s="1">
        <v>1</v>
      </c>
      <c r="B4" s="1" t="s">
        <v>6</v>
      </c>
      <c r="C4" s="1" t="s">
        <v>79</v>
      </c>
      <c r="D4" s="1" t="s">
        <v>7</v>
      </c>
      <c r="E4" s="5">
        <v>1037397.44</v>
      </c>
      <c r="F4" s="13">
        <f>280712.97-139931.43</f>
        <v>140781.53999999998</v>
      </c>
      <c r="G4" s="13">
        <f>139931.43</f>
        <v>139931.43</v>
      </c>
      <c r="H4" s="2">
        <f>E4+F4+G4</f>
        <v>1318110.4099999999</v>
      </c>
      <c r="I4" s="4">
        <f>E4*15/100</f>
        <v>155609.61600000001</v>
      </c>
      <c r="J4" s="3">
        <f>(E4*1/100)+(G4*20/100)</f>
        <v>38360.260399999999</v>
      </c>
      <c r="K4" s="3">
        <f>(H4*1/100)+50000</f>
        <v>63181.104099999997</v>
      </c>
      <c r="L4" s="29" t="s">
        <v>137</v>
      </c>
      <c r="M4" s="23"/>
      <c r="N4" s="18"/>
      <c r="O4" s="19"/>
      <c r="P4" s="25" t="s">
        <v>112</v>
      </c>
      <c r="Q4" s="16" t="s">
        <v>112</v>
      </c>
      <c r="R4" s="16" t="s">
        <v>112</v>
      </c>
      <c r="S4" s="18"/>
      <c r="T4" s="16" t="s">
        <v>112</v>
      </c>
    </row>
    <row r="5" spans="1:20" ht="30" x14ac:dyDescent="0.25">
      <c r="A5" s="1">
        <v>2</v>
      </c>
      <c r="B5" s="1" t="s">
        <v>142</v>
      </c>
      <c r="C5" s="1" t="s">
        <v>80</v>
      </c>
      <c r="D5" s="1" t="s">
        <v>9</v>
      </c>
      <c r="E5" s="5">
        <v>347710.39</v>
      </c>
      <c r="F5" s="13">
        <f>149447.5-79277.3</f>
        <v>70170.2</v>
      </c>
      <c r="G5" s="13">
        <v>79277.3</v>
      </c>
      <c r="H5" s="2">
        <f t="shared" ref="H5:H63" si="0">E5+F5+G5</f>
        <v>497157.89</v>
      </c>
      <c r="I5" s="4">
        <f t="shared" ref="I5:I63" si="1">E5*15/100</f>
        <v>52156.558500000006</v>
      </c>
      <c r="J5" s="3">
        <f t="shared" ref="J5:J63" si="2">(E5*1/100)+(G5*20/100)</f>
        <v>19332.563900000001</v>
      </c>
      <c r="K5" s="3">
        <f t="shared" ref="K5:K63" si="3">(H5*1/100)+50000</f>
        <v>54971.5789</v>
      </c>
      <c r="L5" s="29" t="s">
        <v>138</v>
      </c>
      <c r="M5" s="23"/>
      <c r="N5" s="18"/>
      <c r="O5" s="19"/>
      <c r="P5" s="25" t="s">
        <v>112</v>
      </c>
      <c r="Q5" s="16" t="s">
        <v>112</v>
      </c>
      <c r="R5" s="16" t="s">
        <v>112</v>
      </c>
      <c r="S5" s="18"/>
      <c r="T5" s="16" t="s">
        <v>112</v>
      </c>
    </row>
    <row r="6" spans="1:20" x14ac:dyDescent="0.25">
      <c r="A6" s="1">
        <v>3</v>
      </c>
      <c r="B6" s="1" t="s">
        <v>8</v>
      </c>
      <c r="C6" s="1" t="s">
        <v>91</v>
      </c>
      <c r="D6" s="1" t="s">
        <v>9</v>
      </c>
      <c r="E6" s="5">
        <v>254411.29</v>
      </c>
      <c r="F6" s="13">
        <f>308625.83-144395.74</f>
        <v>164230.09000000003</v>
      </c>
      <c r="G6" s="13">
        <f>144395.74</f>
        <v>144395.74</v>
      </c>
      <c r="H6" s="2">
        <f t="shared" si="0"/>
        <v>563037.12</v>
      </c>
      <c r="I6" s="4">
        <f t="shared" si="1"/>
        <v>38161.693500000001</v>
      </c>
      <c r="J6" s="3">
        <f t="shared" si="2"/>
        <v>31423.260899999997</v>
      </c>
      <c r="K6" s="3">
        <f t="shared" si="3"/>
        <v>55630.371200000001</v>
      </c>
      <c r="L6" s="30"/>
      <c r="M6" s="24"/>
      <c r="N6" s="18"/>
      <c r="O6" s="19"/>
      <c r="P6" s="25" t="s">
        <v>112</v>
      </c>
      <c r="Q6" s="16" t="s">
        <v>112</v>
      </c>
      <c r="R6" s="16" t="s">
        <v>112</v>
      </c>
      <c r="S6" s="18"/>
      <c r="T6" s="16" t="s">
        <v>112</v>
      </c>
    </row>
    <row r="7" spans="1:20" x14ac:dyDescent="0.25">
      <c r="A7" s="1">
        <v>4</v>
      </c>
      <c r="B7" s="1" t="s">
        <v>10</v>
      </c>
      <c r="C7" s="1" t="s">
        <v>81</v>
      </c>
      <c r="D7" s="1" t="s">
        <v>7</v>
      </c>
      <c r="E7" s="5">
        <v>2590256.3199999998</v>
      </c>
      <c r="F7" s="13">
        <f>49531.48+153380.77+76404.57+164709.28+168156.82-280324.04</f>
        <v>331858.87999999995</v>
      </c>
      <c r="G7" s="13">
        <f>123414.61+8837.54+71400.32+76671.57</f>
        <v>280324.04000000004</v>
      </c>
      <c r="H7" s="2">
        <f t="shared" si="0"/>
        <v>3202439.2399999998</v>
      </c>
      <c r="I7" s="4">
        <v>300000</v>
      </c>
      <c r="J7" s="3">
        <f t="shared" si="2"/>
        <v>81967.371199999994</v>
      </c>
      <c r="K7" s="3">
        <f>(H7*1/100)+100000</f>
        <v>132024.39240000001</v>
      </c>
      <c r="L7" s="31" t="s">
        <v>113</v>
      </c>
      <c r="M7" s="25">
        <v>1</v>
      </c>
      <c r="N7" s="18"/>
      <c r="O7" s="19"/>
      <c r="P7" s="25" t="s">
        <v>112</v>
      </c>
      <c r="Q7" s="16" t="s">
        <v>112</v>
      </c>
      <c r="R7" s="16" t="s">
        <v>112</v>
      </c>
      <c r="S7" s="18"/>
      <c r="T7" s="16" t="s">
        <v>112</v>
      </c>
    </row>
    <row r="8" spans="1:20" x14ac:dyDescent="0.25">
      <c r="A8" s="1">
        <v>5</v>
      </c>
      <c r="B8" s="1" t="s">
        <v>11</v>
      </c>
      <c r="C8" s="1" t="s">
        <v>82</v>
      </c>
      <c r="D8" s="1" t="s">
        <v>9</v>
      </c>
      <c r="E8" s="6">
        <v>651501.87</v>
      </c>
      <c r="F8" s="14">
        <f>174552.37-113639.96</f>
        <v>60912.409999999989</v>
      </c>
      <c r="G8" s="14">
        <f>113639.96</f>
        <v>113639.96</v>
      </c>
      <c r="H8" s="2">
        <f t="shared" si="0"/>
        <v>826054.24</v>
      </c>
      <c r="I8" s="4">
        <f t="shared" si="1"/>
        <v>97725.280500000008</v>
      </c>
      <c r="J8" s="3">
        <f t="shared" si="2"/>
        <v>29243.010700000003</v>
      </c>
      <c r="K8" s="3">
        <f t="shared" si="3"/>
        <v>58260.542399999998</v>
      </c>
      <c r="L8" s="30"/>
      <c r="M8" s="24"/>
      <c r="N8" s="18"/>
      <c r="O8" s="19"/>
      <c r="P8" s="25" t="s">
        <v>112</v>
      </c>
      <c r="Q8" s="16" t="s">
        <v>112</v>
      </c>
      <c r="R8" s="16" t="s">
        <v>112</v>
      </c>
      <c r="S8" s="18"/>
      <c r="T8" s="16" t="s">
        <v>112</v>
      </c>
    </row>
    <row r="9" spans="1:20" x14ac:dyDescent="0.25">
      <c r="A9" s="1">
        <v>6</v>
      </c>
      <c r="B9" s="1" t="s">
        <v>143</v>
      </c>
      <c r="C9" s="1" t="s">
        <v>83</v>
      </c>
      <c r="D9" s="1" t="s">
        <v>9</v>
      </c>
      <c r="E9" s="6">
        <v>1039242.87</v>
      </c>
      <c r="F9" s="8">
        <f>235536.07-113471.04</f>
        <v>122065.03000000001</v>
      </c>
      <c r="G9" s="8">
        <f>113471.04</f>
        <v>113471.03999999999</v>
      </c>
      <c r="H9" s="2">
        <f t="shared" si="0"/>
        <v>1274778.94</v>
      </c>
      <c r="I9" s="4">
        <f t="shared" si="1"/>
        <v>155886.43050000002</v>
      </c>
      <c r="J9" s="3">
        <f t="shared" si="2"/>
        <v>33086.636700000003</v>
      </c>
      <c r="K9" s="3">
        <f t="shared" si="3"/>
        <v>62747.789400000001</v>
      </c>
      <c r="L9" s="30"/>
      <c r="M9" s="24"/>
      <c r="N9" s="18"/>
      <c r="O9" s="19"/>
      <c r="P9" s="25" t="s">
        <v>112</v>
      </c>
      <c r="Q9" s="16" t="s">
        <v>112</v>
      </c>
      <c r="R9" s="16" t="s">
        <v>112</v>
      </c>
      <c r="S9" s="18"/>
      <c r="T9" s="16" t="s">
        <v>112</v>
      </c>
    </row>
    <row r="10" spans="1:20" ht="22.5" x14ac:dyDescent="0.25">
      <c r="A10" s="1">
        <v>7</v>
      </c>
      <c r="B10" s="1" t="s">
        <v>144</v>
      </c>
      <c r="C10" s="1" t="s">
        <v>92</v>
      </c>
      <c r="D10" s="1" t="s">
        <v>9</v>
      </c>
      <c r="E10" s="6">
        <v>1011640.13</v>
      </c>
      <c r="F10" s="8">
        <f>282554.91-154302.62</f>
        <v>128252.28999999998</v>
      </c>
      <c r="G10" s="8">
        <f>154302.62</f>
        <v>154302.62</v>
      </c>
      <c r="H10" s="2">
        <f t="shared" si="0"/>
        <v>1294195.04</v>
      </c>
      <c r="I10" s="4">
        <f t="shared" si="1"/>
        <v>151746.01949999999</v>
      </c>
      <c r="J10" s="3">
        <f t="shared" si="2"/>
        <v>40976.925299999995</v>
      </c>
      <c r="K10" s="3">
        <f t="shared" si="3"/>
        <v>62941.950400000002</v>
      </c>
      <c r="L10" s="30"/>
      <c r="M10" s="24"/>
      <c r="N10" s="18"/>
      <c r="O10" s="19"/>
      <c r="P10" s="25" t="s">
        <v>112</v>
      </c>
      <c r="Q10" s="16" t="s">
        <v>112</v>
      </c>
      <c r="R10" s="16" t="s">
        <v>112</v>
      </c>
      <c r="S10" s="18"/>
      <c r="T10" s="16" t="s">
        <v>112</v>
      </c>
    </row>
    <row r="11" spans="1:20" x14ac:dyDescent="0.25">
      <c r="A11" s="1">
        <v>8</v>
      </c>
      <c r="B11" s="1" t="s">
        <v>145</v>
      </c>
      <c r="C11" s="1" t="s">
        <v>93</v>
      </c>
      <c r="D11" s="1" t="s">
        <v>9</v>
      </c>
      <c r="E11" s="6">
        <v>1034697.87</v>
      </c>
      <c r="F11" s="8">
        <f>156231.16-91801.38</f>
        <v>64429.78</v>
      </c>
      <c r="G11" s="8">
        <f>91801.38</f>
        <v>91801.38</v>
      </c>
      <c r="H11" s="2">
        <f t="shared" si="0"/>
        <v>1190929.0299999998</v>
      </c>
      <c r="I11" s="4">
        <f t="shared" si="1"/>
        <v>155204.68050000002</v>
      </c>
      <c r="J11" s="3">
        <f t="shared" si="2"/>
        <v>28707.254700000001</v>
      </c>
      <c r="K11" s="3">
        <f t="shared" si="3"/>
        <v>61909.290300000001</v>
      </c>
      <c r="L11" s="30"/>
      <c r="M11" s="24"/>
      <c r="N11" s="18"/>
      <c r="O11" s="19"/>
      <c r="P11" s="25" t="s">
        <v>112</v>
      </c>
      <c r="Q11" s="18"/>
      <c r="R11" s="16" t="s">
        <v>112</v>
      </c>
      <c r="S11" s="18"/>
      <c r="T11" s="16" t="s">
        <v>112</v>
      </c>
    </row>
    <row r="12" spans="1:20" x14ac:dyDescent="0.25">
      <c r="A12" s="1">
        <v>9</v>
      </c>
      <c r="B12" s="1" t="s">
        <v>12</v>
      </c>
      <c r="C12" s="1" t="s">
        <v>94</v>
      </c>
      <c r="D12" s="1" t="s">
        <v>9</v>
      </c>
      <c r="E12" s="6">
        <v>1025107.45</v>
      </c>
      <c r="F12" s="8">
        <f>353380.2-167537.98</f>
        <v>185842.22</v>
      </c>
      <c r="G12" s="8">
        <f>167537.98</f>
        <v>167537.98000000001</v>
      </c>
      <c r="H12" s="2">
        <f t="shared" si="0"/>
        <v>1378487.65</v>
      </c>
      <c r="I12" s="4">
        <f t="shared" si="1"/>
        <v>153766.11749999999</v>
      </c>
      <c r="J12" s="3">
        <f t="shared" si="2"/>
        <v>43758.670499999993</v>
      </c>
      <c r="K12" s="3">
        <f t="shared" si="3"/>
        <v>63784.876499999998</v>
      </c>
      <c r="L12" s="30"/>
      <c r="M12" s="24"/>
      <c r="N12" s="18"/>
      <c r="O12" s="19"/>
      <c r="P12" s="25" t="s">
        <v>112</v>
      </c>
      <c r="Q12" s="16" t="s">
        <v>112</v>
      </c>
      <c r="R12" s="16" t="s">
        <v>112</v>
      </c>
      <c r="S12" s="18"/>
      <c r="T12" s="16" t="s">
        <v>112</v>
      </c>
    </row>
    <row r="13" spans="1:20" x14ac:dyDescent="0.25">
      <c r="A13" s="1">
        <v>10</v>
      </c>
      <c r="B13" s="1" t="s">
        <v>13</v>
      </c>
      <c r="C13" s="1" t="s">
        <v>95</v>
      </c>
      <c r="D13" s="1" t="s">
        <v>14</v>
      </c>
      <c r="E13" s="6">
        <f>2936109.28+4589779.54</f>
        <v>7525888.8200000003</v>
      </c>
      <c r="F13" s="8">
        <f>252504.88+92318.84+99997.61+146988+160214.99+163082.99+93355.39-426583.69+(358011.29-89166.45)+(512297.48-301419.76)</f>
        <v>1061601.5699999998</v>
      </c>
      <c r="G13" s="8">
        <f>92635.58+62374.3+6531.7+69271.32+72701.98+71443.04+51625.77+89166.45+301419.76</f>
        <v>817169.9</v>
      </c>
      <c r="H13" s="2">
        <f t="shared" si="0"/>
        <v>9404660.290000001</v>
      </c>
      <c r="I13" s="4">
        <v>300000</v>
      </c>
      <c r="J13" s="3">
        <f t="shared" si="2"/>
        <v>238692.86820000003</v>
      </c>
      <c r="K13" s="3">
        <f>(H13*1/100)+100000</f>
        <v>194046.6029</v>
      </c>
      <c r="L13" s="31" t="s">
        <v>113</v>
      </c>
      <c r="M13" s="25">
        <v>2</v>
      </c>
      <c r="N13" s="18"/>
      <c r="O13" s="12" t="s">
        <v>112</v>
      </c>
      <c r="P13" s="25" t="s">
        <v>112</v>
      </c>
      <c r="Q13" s="16" t="s">
        <v>112</v>
      </c>
      <c r="R13" s="16" t="s">
        <v>112</v>
      </c>
      <c r="S13" s="16" t="s">
        <v>112</v>
      </c>
      <c r="T13" s="16" t="s">
        <v>112</v>
      </c>
    </row>
    <row r="14" spans="1:20" x14ac:dyDescent="0.25">
      <c r="A14" s="1">
        <v>11</v>
      </c>
      <c r="B14" s="1" t="s">
        <v>15</v>
      </c>
      <c r="C14" s="1" t="s">
        <v>96</v>
      </c>
      <c r="D14" s="1" t="s">
        <v>9</v>
      </c>
      <c r="E14" s="6">
        <v>769925.27</v>
      </c>
      <c r="F14" s="8">
        <f>244932.7-117482.96</f>
        <v>127449.74</v>
      </c>
      <c r="G14" s="8">
        <f>117482.96</f>
        <v>117482.96</v>
      </c>
      <c r="H14" s="2">
        <f t="shared" si="0"/>
        <v>1014857.97</v>
      </c>
      <c r="I14" s="4">
        <f t="shared" si="1"/>
        <v>115488.7905</v>
      </c>
      <c r="J14" s="3">
        <f t="shared" si="2"/>
        <v>31195.844700000001</v>
      </c>
      <c r="K14" s="3">
        <f t="shared" si="3"/>
        <v>60148.579700000002</v>
      </c>
      <c r="L14" s="30"/>
      <c r="M14" s="24"/>
      <c r="N14" s="18"/>
      <c r="O14" s="19"/>
      <c r="P14" s="25" t="s">
        <v>112</v>
      </c>
      <c r="Q14" s="16" t="s">
        <v>112</v>
      </c>
      <c r="R14" s="16" t="s">
        <v>112</v>
      </c>
      <c r="S14" s="18"/>
      <c r="T14" s="16" t="s">
        <v>112</v>
      </c>
    </row>
    <row r="15" spans="1:20" x14ac:dyDescent="0.25">
      <c r="A15" s="1">
        <v>12</v>
      </c>
      <c r="B15" s="1" t="s">
        <v>16</v>
      </c>
      <c r="C15" s="1" t="s">
        <v>97</v>
      </c>
      <c r="D15" s="1" t="s">
        <v>9</v>
      </c>
      <c r="E15" s="6">
        <v>870311.19</v>
      </c>
      <c r="F15" s="8">
        <f>314324.77-143281.62</f>
        <v>171043.15000000002</v>
      </c>
      <c r="G15" s="8">
        <f>143281.62</f>
        <v>143281.62</v>
      </c>
      <c r="H15" s="2">
        <f t="shared" si="0"/>
        <v>1184635.96</v>
      </c>
      <c r="I15" s="4">
        <f t="shared" si="1"/>
        <v>130546.67849999999</v>
      </c>
      <c r="J15" s="3">
        <f t="shared" si="2"/>
        <v>37359.435899999997</v>
      </c>
      <c r="K15" s="3">
        <f t="shared" si="3"/>
        <v>61846.359599999996</v>
      </c>
      <c r="L15" s="30"/>
      <c r="M15" s="24"/>
      <c r="N15" s="18"/>
      <c r="O15" s="19"/>
      <c r="P15" s="25" t="s">
        <v>112</v>
      </c>
      <c r="Q15" s="16" t="s">
        <v>112</v>
      </c>
      <c r="R15" s="16" t="s">
        <v>112</v>
      </c>
      <c r="S15" s="18"/>
      <c r="T15" s="16" t="s">
        <v>112</v>
      </c>
    </row>
    <row r="16" spans="1:20" x14ac:dyDescent="0.25">
      <c r="A16" s="1">
        <v>13</v>
      </c>
      <c r="B16" s="1" t="s">
        <v>146</v>
      </c>
      <c r="C16" s="1" t="s">
        <v>98</v>
      </c>
      <c r="D16" s="1" t="s">
        <v>9</v>
      </c>
      <c r="E16" s="6">
        <v>527158.94999999995</v>
      </c>
      <c r="F16" s="8">
        <f>242603.15+64905.84-199595.62</f>
        <v>107913.37</v>
      </c>
      <c r="G16" s="8">
        <f>151430.59+48165.03</f>
        <v>199595.62</v>
      </c>
      <c r="H16" s="2">
        <f t="shared" si="0"/>
        <v>834667.94</v>
      </c>
      <c r="I16" s="4">
        <f t="shared" si="1"/>
        <v>79073.842499999984</v>
      </c>
      <c r="J16" s="3">
        <f t="shared" si="2"/>
        <v>45190.713499999998</v>
      </c>
      <c r="K16" s="3">
        <f t="shared" si="3"/>
        <v>58346.679400000001</v>
      </c>
      <c r="L16" s="31" t="s">
        <v>114</v>
      </c>
      <c r="M16" s="25">
        <v>1</v>
      </c>
      <c r="N16" s="18"/>
      <c r="O16" s="19"/>
      <c r="P16" s="25" t="s">
        <v>112</v>
      </c>
      <c r="Q16" s="16" t="s">
        <v>112</v>
      </c>
      <c r="R16" s="16" t="s">
        <v>112</v>
      </c>
      <c r="S16" s="18"/>
      <c r="T16" s="16" t="s">
        <v>112</v>
      </c>
    </row>
    <row r="17" spans="1:20" x14ac:dyDescent="0.25">
      <c r="A17" s="1">
        <v>14</v>
      </c>
      <c r="B17" s="1" t="s">
        <v>17</v>
      </c>
      <c r="C17" s="1" t="s">
        <v>99</v>
      </c>
      <c r="D17" s="1" t="s">
        <v>9</v>
      </c>
      <c r="E17" s="6">
        <v>448163.04</v>
      </c>
      <c r="F17" s="8">
        <f>210027.91+96514.59-160129.35</f>
        <v>146413.15</v>
      </c>
      <c r="G17" s="8">
        <f>116016.04+44113.31</f>
        <v>160129.34999999998</v>
      </c>
      <c r="H17" s="2">
        <f t="shared" si="0"/>
        <v>754705.53999999992</v>
      </c>
      <c r="I17" s="4">
        <f t="shared" si="1"/>
        <v>67224.455999999991</v>
      </c>
      <c r="J17" s="3">
        <f t="shared" si="2"/>
        <v>36507.500399999997</v>
      </c>
      <c r="K17" s="3">
        <f t="shared" si="3"/>
        <v>57547.055399999997</v>
      </c>
      <c r="L17" s="31" t="s">
        <v>111</v>
      </c>
      <c r="M17" s="24"/>
      <c r="N17" s="18"/>
      <c r="O17" s="19"/>
      <c r="P17" s="25" t="s">
        <v>112</v>
      </c>
      <c r="Q17" s="18"/>
      <c r="R17" s="16" t="s">
        <v>112</v>
      </c>
      <c r="S17" s="18"/>
      <c r="T17" s="16" t="s">
        <v>112</v>
      </c>
    </row>
    <row r="18" spans="1:20" x14ac:dyDescent="0.25">
      <c r="A18" s="1">
        <v>15</v>
      </c>
      <c r="B18" s="1" t="s">
        <v>147</v>
      </c>
      <c r="C18" s="1" t="s">
        <v>127</v>
      </c>
      <c r="D18" s="1" t="s">
        <v>128</v>
      </c>
      <c r="E18" s="8">
        <f>2155.41*1421.9</f>
        <v>3064777.4789999998</v>
      </c>
      <c r="F18" s="8">
        <v>0</v>
      </c>
      <c r="G18" s="8">
        <v>0</v>
      </c>
      <c r="H18" s="2">
        <f t="shared" si="0"/>
        <v>3064777.4789999998</v>
      </c>
      <c r="I18" s="4">
        <v>100000</v>
      </c>
      <c r="J18" s="3">
        <f>(E18*1/100)+(G18*20/100)</f>
        <v>30647.774789999999</v>
      </c>
      <c r="K18" s="3">
        <f>(H18*1/100)</f>
        <v>30647.774789999999</v>
      </c>
      <c r="L18" s="30"/>
      <c r="M18" s="24"/>
      <c r="N18" s="18"/>
      <c r="O18" s="19"/>
      <c r="P18" s="18"/>
      <c r="Q18" s="18"/>
      <c r="R18" s="18"/>
      <c r="S18" s="18"/>
      <c r="T18" s="18"/>
    </row>
    <row r="19" spans="1:20" x14ac:dyDescent="0.25">
      <c r="A19" s="1">
        <v>16</v>
      </c>
      <c r="B19" s="1" t="s">
        <v>18</v>
      </c>
      <c r="C19" s="1" t="s">
        <v>100</v>
      </c>
      <c r="D19" s="1" t="s">
        <v>19</v>
      </c>
      <c r="E19" s="6">
        <v>11388330.68</v>
      </c>
      <c r="F19" s="8">
        <v>2238187.52</v>
      </c>
      <c r="G19" s="8">
        <v>5368647.33</v>
      </c>
      <c r="H19" s="2">
        <f>E19+F19+G19</f>
        <v>18995165.530000001</v>
      </c>
      <c r="I19" s="4">
        <v>300000</v>
      </c>
      <c r="J19" s="3">
        <v>200000</v>
      </c>
      <c r="K19" s="3">
        <f t="shared" si="3"/>
        <v>239951.65530000001</v>
      </c>
      <c r="L19" s="29" t="s">
        <v>111</v>
      </c>
      <c r="M19" s="26">
        <v>4</v>
      </c>
      <c r="N19" s="18"/>
      <c r="O19" s="19"/>
      <c r="P19" s="25" t="s">
        <v>112</v>
      </c>
      <c r="Q19" s="16" t="s">
        <v>112</v>
      </c>
      <c r="R19" s="16" t="s">
        <v>112</v>
      </c>
      <c r="S19" s="16" t="s">
        <v>112</v>
      </c>
      <c r="T19" s="18"/>
    </row>
    <row r="20" spans="1:20" ht="30" x14ac:dyDescent="0.25">
      <c r="A20" s="1">
        <v>17</v>
      </c>
      <c r="B20" s="1" t="s">
        <v>18</v>
      </c>
      <c r="C20" s="1" t="s">
        <v>101</v>
      </c>
      <c r="D20" s="1" t="s">
        <v>19</v>
      </c>
      <c r="E20" s="6">
        <f>24918560.5+13416102.69</f>
        <v>38334663.189999998</v>
      </c>
      <c r="F20" s="8">
        <v>5223823.1900000004</v>
      </c>
      <c r="G20" s="8">
        <v>12530167.42</v>
      </c>
      <c r="H20" s="2">
        <f t="shared" si="0"/>
        <v>56088653.799999997</v>
      </c>
      <c r="I20" s="4">
        <v>300000</v>
      </c>
      <c r="J20" s="3">
        <v>200000</v>
      </c>
      <c r="K20" s="3">
        <v>300000</v>
      </c>
      <c r="L20" s="29" t="s">
        <v>130</v>
      </c>
      <c r="M20" s="26">
        <v>5</v>
      </c>
      <c r="N20" s="18"/>
      <c r="O20" s="19"/>
      <c r="P20" s="25" t="s">
        <v>112</v>
      </c>
      <c r="Q20" s="16" t="s">
        <v>112</v>
      </c>
      <c r="R20" s="16" t="s">
        <v>112</v>
      </c>
      <c r="S20" s="16" t="s">
        <v>112</v>
      </c>
      <c r="T20" s="18"/>
    </row>
    <row r="21" spans="1:20" x14ac:dyDescent="0.25">
      <c r="A21" s="1">
        <v>18</v>
      </c>
      <c r="B21" s="1" t="s">
        <v>18</v>
      </c>
      <c r="C21" s="1" t="s">
        <v>102</v>
      </c>
      <c r="D21" s="1" t="s">
        <v>20</v>
      </c>
      <c r="E21" s="6">
        <v>4937655.66</v>
      </c>
      <c r="F21" s="8">
        <v>4774757.22</v>
      </c>
      <c r="G21" s="8">
        <v>13840507.09</v>
      </c>
      <c r="H21" s="2">
        <f t="shared" si="0"/>
        <v>23552919.969999999</v>
      </c>
      <c r="I21" s="4">
        <v>300000</v>
      </c>
      <c r="J21" s="3">
        <v>200000</v>
      </c>
      <c r="K21" s="3">
        <f>(H21*1/100)+100000</f>
        <v>335529.1997</v>
      </c>
      <c r="L21" s="31" t="s">
        <v>111</v>
      </c>
      <c r="M21" s="24"/>
      <c r="N21" s="16" t="s">
        <v>112</v>
      </c>
      <c r="O21" s="19"/>
      <c r="P21" s="25" t="s">
        <v>112</v>
      </c>
      <c r="Q21" s="16" t="s">
        <v>112</v>
      </c>
      <c r="R21" s="16" t="s">
        <v>112</v>
      </c>
      <c r="S21" s="16" t="s">
        <v>112</v>
      </c>
      <c r="T21" s="16" t="s">
        <v>112</v>
      </c>
    </row>
    <row r="22" spans="1:20" ht="30" x14ac:dyDescent="0.25">
      <c r="A22" s="1">
        <v>19</v>
      </c>
      <c r="B22" s="1" t="s">
        <v>18</v>
      </c>
      <c r="C22" s="1" t="s">
        <v>103</v>
      </c>
      <c r="D22" s="1" t="s">
        <v>19</v>
      </c>
      <c r="E22" s="6">
        <v>37643756.759999998</v>
      </c>
      <c r="F22" s="8">
        <v>4714059.03</v>
      </c>
      <c r="G22" s="8">
        <v>11307417.34</v>
      </c>
      <c r="H22" s="2">
        <f t="shared" si="0"/>
        <v>53665233.129999995</v>
      </c>
      <c r="I22" s="4">
        <v>300000</v>
      </c>
      <c r="J22" s="3">
        <v>200000</v>
      </c>
      <c r="K22" s="3">
        <v>300000</v>
      </c>
      <c r="L22" s="29" t="s">
        <v>124</v>
      </c>
      <c r="M22" s="26">
        <v>3</v>
      </c>
      <c r="N22" s="16" t="s">
        <v>112</v>
      </c>
      <c r="O22" s="19"/>
      <c r="P22" s="25" t="s">
        <v>112</v>
      </c>
      <c r="Q22" s="16" t="s">
        <v>112</v>
      </c>
      <c r="R22" s="16" t="s">
        <v>112</v>
      </c>
      <c r="S22" s="16" t="s">
        <v>112</v>
      </c>
      <c r="T22" s="16" t="s">
        <v>112</v>
      </c>
    </row>
    <row r="23" spans="1:20" x14ac:dyDescent="0.25">
      <c r="A23" s="1">
        <v>20</v>
      </c>
      <c r="B23" s="1" t="s">
        <v>148</v>
      </c>
      <c r="C23" s="1" t="s">
        <v>78</v>
      </c>
      <c r="D23" s="1" t="s">
        <v>19</v>
      </c>
      <c r="E23" s="8">
        <f>939.17*1571.74</f>
        <v>1476131.0558</v>
      </c>
      <c r="F23" s="8">
        <v>313325.57</v>
      </c>
      <c r="G23" s="8">
        <v>751561.01</v>
      </c>
      <c r="H23" s="2">
        <f t="shared" si="0"/>
        <v>2541017.6358000003</v>
      </c>
      <c r="I23" s="4">
        <f t="shared" si="1"/>
        <v>221419.65837000002</v>
      </c>
      <c r="J23" s="3">
        <f t="shared" si="2"/>
        <v>165073.51255799999</v>
      </c>
      <c r="K23" s="3">
        <f>(H23*1/100)</f>
        <v>25410.176358000004</v>
      </c>
      <c r="L23" s="30"/>
      <c r="M23" s="24"/>
      <c r="N23" s="18"/>
      <c r="O23" s="19"/>
      <c r="P23" s="24"/>
      <c r="Q23" s="18"/>
      <c r="R23" s="18"/>
      <c r="S23" s="18"/>
      <c r="T23" s="18"/>
    </row>
    <row r="24" spans="1:20" x14ac:dyDescent="0.25">
      <c r="A24" s="1">
        <v>21</v>
      </c>
      <c r="B24" s="1" t="s">
        <v>149</v>
      </c>
      <c r="C24" s="1" t="s">
        <v>104</v>
      </c>
      <c r="D24" s="1" t="s">
        <v>9</v>
      </c>
      <c r="E24" s="8">
        <v>363808.1</v>
      </c>
      <c r="F24" s="8">
        <f>187111.54-109042.63</f>
        <v>78068.91</v>
      </c>
      <c r="G24" s="8">
        <f>109042.63</f>
        <v>109042.63</v>
      </c>
      <c r="H24" s="2">
        <f t="shared" si="0"/>
        <v>550919.64</v>
      </c>
      <c r="I24" s="4">
        <f t="shared" si="1"/>
        <v>54571.214999999997</v>
      </c>
      <c r="J24" s="3">
        <f t="shared" si="2"/>
        <v>25446.607</v>
      </c>
      <c r="K24" s="3">
        <f t="shared" si="3"/>
        <v>55509.196400000001</v>
      </c>
      <c r="L24" s="30"/>
      <c r="M24" s="24"/>
      <c r="N24" s="18"/>
      <c r="O24" s="19"/>
      <c r="P24" s="25" t="s">
        <v>112</v>
      </c>
      <c r="Q24" s="18"/>
      <c r="R24" s="16" t="s">
        <v>112</v>
      </c>
      <c r="S24" s="18"/>
      <c r="T24" s="16" t="s">
        <v>112</v>
      </c>
    </row>
    <row r="25" spans="1:20" x14ac:dyDescent="0.25">
      <c r="A25" s="1">
        <v>22</v>
      </c>
      <c r="B25" s="1" t="s">
        <v>150</v>
      </c>
      <c r="C25" s="1" t="s">
        <v>105</v>
      </c>
      <c r="D25" s="1" t="s">
        <v>19</v>
      </c>
      <c r="E25" s="8">
        <v>3764672.02</v>
      </c>
      <c r="F25" s="8">
        <f>159664.63+145722.41+62035.03+155473.38+149738.92+149603.5-365439.86-20936.88</f>
        <v>435861.13000000012</v>
      </c>
      <c r="G25" s="8">
        <f>37930+116810.46+7311.98+73903.5+69034.67+60449.25</f>
        <v>365439.86000000004</v>
      </c>
      <c r="H25" s="2">
        <f t="shared" si="0"/>
        <v>4565973.0100000007</v>
      </c>
      <c r="I25" s="4">
        <v>300000</v>
      </c>
      <c r="J25" s="3">
        <f t="shared" si="2"/>
        <v>110734.69220000002</v>
      </c>
      <c r="K25" s="3">
        <f t="shared" si="3"/>
        <v>95659.730100000015</v>
      </c>
      <c r="L25" s="31" t="s">
        <v>125</v>
      </c>
      <c r="M25" s="25">
        <v>2</v>
      </c>
      <c r="N25" s="18"/>
      <c r="O25" s="19"/>
      <c r="P25" s="25" t="s">
        <v>112</v>
      </c>
      <c r="Q25" s="16" t="s">
        <v>112</v>
      </c>
      <c r="R25" s="16" t="s">
        <v>112</v>
      </c>
      <c r="S25" s="16" t="s">
        <v>112</v>
      </c>
      <c r="T25" s="16" t="s">
        <v>112</v>
      </c>
    </row>
    <row r="26" spans="1:20" x14ac:dyDescent="0.25">
      <c r="A26" s="1">
        <v>23</v>
      </c>
      <c r="B26" s="1" t="s">
        <v>150</v>
      </c>
      <c r="C26" s="1" t="s">
        <v>106</v>
      </c>
      <c r="D26" s="1" t="s">
        <v>21</v>
      </c>
      <c r="E26" s="8">
        <v>232174.17</v>
      </c>
      <c r="F26" s="8">
        <f>2653.88+17893.3+389.7</f>
        <v>20936.88</v>
      </c>
      <c r="G26" s="8">
        <v>0</v>
      </c>
      <c r="H26" s="2">
        <f t="shared" si="0"/>
        <v>253111.05000000002</v>
      </c>
      <c r="I26" s="4">
        <f t="shared" si="1"/>
        <v>34826.125500000002</v>
      </c>
      <c r="J26" s="3">
        <f t="shared" si="2"/>
        <v>2321.7417</v>
      </c>
      <c r="K26" s="3">
        <f t="shared" si="3"/>
        <v>52531.110500000003</v>
      </c>
      <c r="L26" s="30"/>
      <c r="M26" s="24"/>
      <c r="N26" s="18"/>
      <c r="O26" s="19"/>
      <c r="P26" s="25" t="s">
        <v>112</v>
      </c>
      <c r="Q26" s="16" t="s">
        <v>112</v>
      </c>
      <c r="R26" s="16" t="s">
        <v>112</v>
      </c>
      <c r="S26" s="16" t="s">
        <v>112</v>
      </c>
      <c r="T26" s="16" t="s">
        <v>112</v>
      </c>
    </row>
    <row r="27" spans="1:20" x14ac:dyDescent="0.25">
      <c r="A27" s="1">
        <v>24</v>
      </c>
      <c r="B27" s="1" t="s">
        <v>22</v>
      </c>
      <c r="C27" s="1" t="s">
        <v>23</v>
      </c>
      <c r="D27" s="1" t="s">
        <v>9</v>
      </c>
      <c r="E27" s="8">
        <v>1193109.72</v>
      </c>
      <c r="F27" s="8">
        <f>289530.47+5342.15-157624.18</f>
        <v>137248.44</v>
      </c>
      <c r="G27" s="8">
        <f>154589.43+3034.75</f>
        <v>157624.18</v>
      </c>
      <c r="H27" s="2">
        <f t="shared" si="0"/>
        <v>1487982.3399999999</v>
      </c>
      <c r="I27" s="4">
        <f t="shared" si="1"/>
        <v>178966.45800000001</v>
      </c>
      <c r="J27" s="3">
        <f t="shared" si="2"/>
        <v>43455.933199999999</v>
      </c>
      <c r="K27" s="3">
        <f t="shared" si="3"/>
        <v>64879.823400000001</v>
      </c>
      <c r="L27" s="31" t="s">
        <v>114</v>
      </c>
      <c r="M27" s="25"/>
      <c r="N27" s="18"/>
      <c r="O27" s="19"/>
      <c r="P27" s="25" t="s">
        <v>112</v>
      </c>
      <c r="Q27" s="16" t="s">
        <v>112</v>
      </c>
      <c r="R27" s="16" t="s">
        <v>112</v>
      </c>
      <c r="S27" s="18"/>
      <c r="T27" s="16" t="s">
        <v>112</v>
      </c>
    </row>
    <row r="28" spans="1:20" x14ac:dyDescent="0.25">
      <c r="A28" s="1">
        <v>25</v>
      </c>
      <c r="B28" s="1" t="s">
        <v>151</v>
      </c>
      <c r="C28" s="1" t="s">
        <v>107</v>
      </c>
      <c r="D28" s="1" t="s">
        <v>9</v>
      </c>
      <c r="E28" s="8">
        <v>285864.55</v>
      </c>
      <c r="F28" s="8">
        <f>65601.2-31405.24</f>
        <v>34195.959999999992</v>
      </c>
      <c r="G28" s="8">
        <f>31405.24</f>
        <v>31405.24</v>
      </c>
      <c r="H28" s="2">
        <f t="shared" si="0"/>
        <v>351465.75</v>
      </c>
      <c r="I28" s="4">
        <f t="shared" si="1"/>
        <v>42879.682500000003</v>
      </c>
      <c r="J28" s="3">
        <f t="shared" si="2"/>
        <v>9139.6935000000012</v>
      </c>
      <c r="K28" s="3">
        <f t="shared" si="3"/>
        <v>53514.657500000001</v>
      </c>
      <c r="L28" s="30"/>
      <c r="M28" s="24"/>
      <c r="N28" s="18"/>
      <c r="O28" s="19"/>
      <c r="P28" s="25" t="s">
        <v>112</v>
      </c>
      <c r="Q28" s="18"/>
      <c r="R28" s="16" t="s">
        <v>112</v>
      </c>
      <c r="S28" s="18"/>
      <c r="T28" s="16" t="s">
        <v>112</v>
      </c>
    </row>
    <row r="29" spans="1:20" x14ac:dyDescent="0.25">
      <c r="A29" s="1">
        <v>26</v>
      </c>
      <c r="B29" s="1" t="s">
        <v>24</v>
      </c>
      <c r="C29" s="1" t="s">
        <v>108</v>
      </c>
      <c r="D29" s="1" t="s">
        <v>9</v>
      </c>
      <c r="E29" s="8">
        <v>1355394.63</v>
      </c>
      <c r="F29" s="8">
        <f>133151.58+61432.34+22022.16+134902.93+128151.08-265532.1</f>
        <v>214127.99000000005</v>
      </c>
      <c r="G29" s="8">
        <f>77649.71+42895.52+7122+72834.83+65030.04</f>
        <v>265532.09999999998</v>
      </c>
      <c r="H29" s="2">
        <f t="shared" si="0"/>
        <v>1835054.7199999997</v>
      </c>
      <c r="I29" s="4">
        <f t="shared" si="1"/>
        <v>203309.19449999998</v>
      </c>
      <c r="J29" s="3">
        <f t="shared" si="2"/>
        <v>66660.366299999994</v>
      </c>
      <c r="K29" s="3">
        <f t="shared" si="3"/>
        <v>68350.547200000001</v>
      </c>
      <c r="L29" s="31" t="s">
        <v>136</v>
      </c>
      <c r="M29" s="25">
        <v>1</v>
      </c>
      <c r="N29" s="18"/>
      <c r="O29" s="19"/>
      <c r="P29" s="25" t="s">
        <v>112</v>
      </c>
      <c r="Q29" s="18"/>
      <c r="R29" s="16" t="s">
        <v>112</v>
      </c>
      <c r="S29" s="18"/>
      <c r="T29" s="16" t="s">
        <v>112</v>
      </c>
    </row>
    <row r="30" spans="1:20" x14ac:dyDescent="0.25">
      <c r="A30" s="1">
        <v>27</v>
      </c>
      <c r="B30" s="1" t="s">
        <v>152</v>
      </c>
      <c r="C30" s="1" t="s">
        <v>25</v>
      </c>
      <c r="D30" s="1" t="s">
        <v>26</v>
      </c>
      <c r="E30" s="8">
        <v>305948.34999999998</v>
      </c>
      <c r="F30" s="8">
        <f>128469.23-85895.98</f>
        <v>42573.25</v>
      </c>
      <c r="G30" s="8">
        <f>85895.98</f>
        <v>85895.98</v>
      </c>
      <c r="H30" s="2">
        <f t="shared" si="0"/>
        <v>434417.57999999996</v>
      </c>
      <c r="I30" s="4">
        <f t="shared" si="1"/>
        <v>45892.252500000002</v>
      </c>
      <c r="J30" s="3">
        <f t="shared" si="2"/>
        <v>20238.679499999998</v>
      </c>
      <c r="K30" s="3">
        <f t="shared" si="3"/>
        <v>54344.175799999997</v>
      </c>
      <c r="L30" s="30"/>
      <c r="M30" s="24"/>
      <c r="N30" s="18"/>
      <c r="O30" s="19"/>
      <c r="P30" s="25" t="s">
        <v>112</v>
      </c>
      <c r="Q30" s="18"/>
      <c r="R30" s="16" t="s">
        <v>112</v>
      </c>
      <c r="S30" s="18"/>
      <c r="T30" s="16" t="s">
        <v>112</v>
      </c>
    </row>
    <row r="31" spans="1:20" x14ac:dyDescent="0.25">
      <c r="A31" s="1">
        <v>28</v>
      </c>
      <c r="B31" s="1" t="s">
        <v>27</v>
      </c>
      <c r="C31" s="1" t="s">
        <v>28</v>
      </c>
      <c r="D31" s="1" t="s">
        <v>9</v>
      </c>
      <c r="E31" s="8">
        <v>905506.64</v>
      </c>
      <c r="F31" s="8">
        <f>178567.91-109196.09</f>
        <v>69371.820000000007</v>
      </c>
      <c r="G31" s="8">
        <f>109196.09</f>
        <v>109196.09</v>
      </c>
      <c r="H31" s="2">
        <f t="shared" si="0"/>
        <v>1084074.55</v>
      </c>
      <c r="I31" s="4">
        <f t="shared" si="1"/>
        <v>135825.99599999998</v>
      </c>
      <c r="J31" s="3">
        <f t="shared" si="2"/>
        <v>30894.284399999997</v>
      </c>
      <c r="K31" s="3">
        <f t="shared" si="3"/>
        <v>60840.745500000005</v>
      </c>
      <c r="L31" s="30"/>
      <c r="M31" s="24"/>
      <c r="N31" s="18"/>
      <c r="O31" s="19"/>
      <c r="P31" s="25" t="s">
        <v>112</v>
      </c>
      <c r="Q31" s="18"/>
      <c r="R31" s="16" t="s">
        <v>112</v>
      </c>
      <c r="S31" s="18"/>
      <c r="T31" s="16" t="s">
        <v>112</v>
      </c>
    </row>
    <row r="32" spans="1:20" x14ac:dyDescent="0.25">
      <c r="A32" s="1">
        <v>29</v>
      </c>
      <c r="B32" s="1" t="s">
        <v>29</v>
      </c>
      <c r="C32" s="1" t="s">
        <v>30</v>
      </c>
      <c r="D32" s="1" t="s">
        <v>9</v>
      </c>
      <c r="E32" s="8">
        <v>998648.4</v>
      </c>
      <c r="F32" s="8">
        <f>232991.99-116638.52</f>
        <v>116353.46999999999</v>
      </c>
      <c r="G32" s="8">
        <f>116638.52</f>
        <v>116638.52</v>
      </c>
      <c r="H32" s="2">
        <f t="shared" si="0"/>
        <v>1231640.3900000001</v>
      </c>
      <c r="I32" s="4">
        <f t="shared" si="1"/>
        <v>149797.26</v>
      </c>
      <c r="J32" s="3">
        <f t="shared" si="2"/>
        <v>33314.187999999995</v>
      </c>
      <c r="K32" s="3">
        <f t="shared" si="3"/>
        <v>62316.403900000005</v>
      </c>
      <c r="L32" s="30"/>
      <c r="M32" s="24"/>
      <c r="N32" s="18"/>
      <c r="O32" s="19"/>
      <c r="P32" s="25" t="s">
        <v>112</v>
      </c>
      <c r="Q32" s="16" t="s">
        <v>112</v>
      </c>
      <c r="R32" s="16" t="s">
        <v>112</v>
      </c>
      <c r="S32" s="18"/>
      <c r="T32" s="16" t="s">
        <v>112</v>
      </c>
    </row>
    <row r="33" spans="1:20" x14ac:dyDescent="0.25">
      <c r="A33" s="1">
        <v>30</v>
      </c>
      <c r="B33" s="1" t="s">
        <v>31</v>
      </c>
      <c r="C33" s="1" t="s">
        <v>32</v>
      </c>
      <c r="D33" s="1" t="s">
        <v>9</v>
      </c>
      <c r="E33" s="8">
        <v>1029177.79</v>
      </c>
      <c r="F33" s="8">
        <f>218139.79-118751.29</f>
        <v>99388.500000000015</v>
      </c>
      <c r="G33" s="8">
        <f>118751.29</f>
        <v>118751.29</v>
      </c>
      <c r="H33" s="2">
        <f t="shared" si="0"/>
        <v>1247317.58</v>
      </c>
      <c r="I33" s="4">
        <f t="shared" si="1"/>
        <v>154376.66850000003</v>
      </c>
      <c r="J33" s="3">
        <f t="shared" si="2"/>
        <v>34042.035900000003</v>
      </c>
      <c r="K33" s="3">
        <f t="shared" si="3"/>
        <v>62473.175799999997</v>
      </c>
      <c r="L33" s="30"/>
      <c r="M33" s="24"/>
      <c r="N33" s="18"/>
      <c r="O33" s="19"/>
      <c r="P33" s="25" t="s">
        <v>112</v>
      </c>
      <c r="Q33" s="18"/>
      <c r="R33" s="16" t="s">
        <v>112</v>
      </c>
      <c r="S33" s="18"/>
      <c r="T33" s="16" t="s">
        <v>112</v>
      </c>
    </row>
    <row r="34" spans="1:20" x14ac:dyDescent="0.25">
      <c r="A34" s="1">
        <v>31</v>
      </c>
      <c r="B34" s="1" t="s">
        <v>33</v>
      </c>
      <c r="C34" s="1" t="s">
        <v>34</v>
      </c>
      <c r="D34" s="1" t="s">
        <v>9</v>
      </c>
      <c r="E34" s="8">
        <v>587441.15</v>
      </c>
      <c r="F34" s="8">
        <f>185573.29-107410.49</f>
        <v>78162.8</v>
      </c>
      <c r="G34" s="8">
        <f>107410.49</f>
        <v>107410.49</v>
      </c>
      <c r="H34" s="2">
        <f t="shared" si="0"/>
        <v>773014.44000000006</v>
      </c>
      <c r="I34" s="4">
        <f t="shared" si="1"/>
        <v>88116.172500000001</v>
      </c>
      <c r="J34" s="3">
        <f t="shared" si="2"/>
        <v>27356.5095</v>
      </c>
      <c r="K34" s="3">
        <f t="shared" si="3"/>
        <v>57730.144400000005</v>
      </c>
      <c r="L34" s="30"/>
      <c r="M34" s="24"/>
      <c r="N34" s="18"/>
      <c r="O34" s="19"/>
      <c r="P34" s="25" t="s">
        <v>112</v>
      </c>
      <c r="Q34" s="18"/>
      <c r="R34" s="16" t="s">
        <v>112</v>
      </c>
      <c r="S34" s="18"/>
      <c r="T34" s="16" t="s">
        <v>112</v>
      </c>
    </row>
    <row r="35" spans="1:20" x14ac:dyDescent="0.25">
      <c r="A35" s="1">
        <v>32</v>
      </c>
      <c r="B35" s="1" t="s">
        <v>35</v>
      </c>
      <c r="C35" s="1" t="s">
        <v>36</v>
      </c>
      <c r="D35" s="1" t="s">
        <v>9</v>
      </c>
      <c r="E35" s="8">
        <v>827003.78</v>
      </c>
      <c r="F35" s="8">
        <f>172277.24-107443.33</f>
        <v>64833.909999999989</v>
      </c>
      <c r="G35" s="8">
        <v>107443.33</v>
      </c>
      <c r="H35" s="2">
        <f t="shared" si="0"/>
        <v>999281.02</v>
      </c>
      <c r="I35" s="4">
        <f t="shared" si="1"/>
        <v>124050.56700000001</v>
      </c>
      <c r="J35" s="3">
        <f t="shared" si="2"/>
        <v>29758.703800000003</v>
      </c>
      <c r="K35" s="3">
        <f t="shared" si="3"/>
        <v>59992.8102</v>
      </c>
      <c r="L35" s="30"/>
      <c r="M35" s="24"/>
      <c r="N35" s="18"/>
      <c r="O35" s="19"/>
      <c r="P35" s="25" t="s">
        <v>112</v>
      </c>
      <c r="Q35" s="18"/>
      <c r="R35" s="16" t="s">
        <v>112</v>
      </c>
      <c r="S35" s="18"/>
      <c r="T35" s="16" t="s">
        <v>112</v>
      </c>
    </row>
    <row r="36" spans="1:20" x14ac:dyDescent="0.25">
      <c r="A36" s="1">
        <v>33</v>
      </c>
      <c r="B36" s="33" t="s">
        <v>153</v>
      </c>
      <c r="C36" s="33" t="s">
        <v>129</v>
      </c>
      <c r="D36" s="1" t="s">
        <v>9</v>
      </c>
      <c r="E36" s="8">
        <v>536590.11</v>
      </c>
      <c r="F36" s="8">
        <v>33656.239999999998</v>
      </c>
      <c r="G36" s="8">
        <v>42636.76</v>
      </c>
      <c r="H36" s="2">
        <f t="shared" si="0"/>
        <v>612883.11</v>
      </c>
      <c r="I36" s="4">
        <f t="shared" si="1"/>
        <v>80488.516499999998</v>
      </c>
      <c r="J36" s="3">
        <f t="shared" si="2"/>
        <v>13893.253100000002</v>
      </c>
      <c r="K36" s="3">
        <f t="shared" si="3"/>
        <v>56128.831099999996</v>
      </c>
      <c r="L36" s="30"/>
      <c r="M36" s="24"/>
      <c r="N36" s="18"/>
      <c r="O36" s="19"/>
      <c r="P36" s="24"/>
      <c r="Q36" s="18"/>
      <c r="R36" s="16" t="s">
        <v>112</v>
      </c>
      <c r="S36" s="18"/>
      <c r="T36" s="16" t="s">
        <v>112</v>
      </c>
    </row>
    <row r="37" spans="1:20" ht="30" x14ac:dyDescent="0.25">
      <c r="A37" s="1">
        <v>34</v>
      </c>
      <c r="B37" s="1" t="s">
        <v>37</v>
      </c>
      <c r="C37" s="1" t="s">
        <v>38</v>
      </c>
      <c r="D37" s="1" t="s">
        <v>39</v>
      </c>
      <c r="E37" s="8">
        <v>22800755.399999999</v>
      </c>
      <c r="F37" s="8">
        <f>324528.36+251129.04+323606.59+92872+12921.76+266647.97+220927.29+237254.64+235118.48+226300.38+230990.94+240117.4+222298.81+207225.39-1481524.76+(355451.46-38551.48)+(321107.3-123465.89)</f>
        <v>2124955.6799999997</v>
      </c>
      <c r="G37" s="8">
        <f>28686.49+1005+252658.74+3342.3+265464.21+113108.49+124411.26+129219.33+115180.37+116120.75+126254.25+113961.49+92112.08+38551.48+123465.89</f>
        <v>1643542.13</v>
      </c>
      <c r="H37" s="2">
        <f t="shared" si="0"/>
        <v>26569253.209999997</v>
      </c>
      <c r="I37" s="4">
        <v>300000</v>
      </c>
      <c r="J37" s="3">
        <v>200000</v>
      </c>
      <c r="K37" s="3">
        <v>300000</v>
      </c>
      <c r="L37" s="29" t="s">
        <v>126</v>
      </c>
      <c r="M37" s="27">
        <v>2</v>
      </c>
      <c r="N37" s="16" t="s">
        <v>112</v>
      </c>
      <c r="O37" s="19"/>
      <c r="P37" s="25" t="s">
        <v>112</v>
      </c>
      <c r="Q37" s="16" t="s">
        <v>112</v>
      </c>
      <c r="R37" s="16" t="s">
        <v>112</v>
      </c>
      <c r="S37" s="16" t="s">
        <v>112</v>
      </c>
      <c r="T37" s="18"/>
    </row>
    <row r="38" spans="1:20" x14ac:dyDescent="0.25">
      <c r="A38" s="1">
        <v>35</v>
      </c>
      <c r="B38" s="1" t="s">
        <v>40</v>
      </c>
      <c r="C38" s="1" t="s">
        <v>41</v>
      </c>
      <c r="D38" s="1" t="s">
        <v>9</v>
      </c>
      <c r="E38" s="8">
        <v>871961.08</v>
      </c>
      <c r="F38" s="8">
        <f>205676.9-120077.35</f>
        <v>85599.549999999988</v>
      </c>
      <c r="G38" s="8">
        <f>120077.35</f>
        <v>120077.35</v>
      </c>
      <c r="H38" s="2">
        <f t="shared" si="0"/>
        <v>1077637.98</v>
      </c>
      <c r="I38" s="4">
        <f t="shared" si="1"/>
        <v>130794.162</v>
      </c>
      <c r="J38" s="3">
        <f t="shared" si="2"/>
        <v>32735.080800000003</v>
      </c>
      <c r="K38" s="3">
        <f t="shared" si="3"/>
        <v>60776.379800000002</v>
      </c>
      <c r="L38" s="30"/>
      <c r="M38" s="24"/>
      <c r="N38" s="16"/>
      <c r="O38" s="19"/>
      <c r="P38" s="25" t="s">
        <v>112</v>
      </c>
      <c r="Q38" s="18"/>
      <c r="R38" s="16" t="s">
        <v>112</v>
      </c>
      <c r="S38" s="18"/>
      <c r="T38" s="16" t="s">
        <v>112</v>
      </c>
    </row>
    <row r="39" spans="1:20" x14ac:dyDescent="0.25">
      <c r="A39" s="1">
        <v>36</v>
      </c>
      <c r="B39" s="1" t="s">
        <v>42</v>
      </c>
      <c r="C39" s="1" t="s">
        <v>43</v>
      </c>
      <c r="D39" s="1" t="s">
        <v>19</v>
      </c>
      <c r="E39" s="8">
        <v>2282307.19</v>
      </c>
      <c r="F39" s="8">
        <v>0</v>
      </c>
      <c r="G39" s="8">
        <v>0</v>
      </c>
      <c r="H39" s="2">
        <f t="shared" si="0"/>
        <v>2282307.19</v>
      </c>
      <c r="I39" s="4">
        <v>300000</v>
      </c>
      <c r="J39" s="3">
        <f t="shared" si="2"/>
        <v>22823.071899999999</v>
      </c>
      <c r="K39" s="3">
        <f t="shared" si="3"/>
        <v>72823.071899999995</v>
      </c>
      <c r="L39" s="32"/>
      <c r="M39" s="23"/>
      <c r="N39" s="18"/>
      <c r="O39" s="19"/>
      <c r="P39" s="24"/>
      <c r="Q39" s="18"/>
      <c r="R39" s="18"/>
      <c r="S39" s="18"/>
      <c r="T39" s="18"/>
    </row>
    <row r="40" spans="1:20" ht="30" x14ac:dyDescent="0.25">
      <c r="A40" s="1">
        <v>37</v>
      </c>
      <c r="B40" s="1" t="s">
        <v>42</v>
      </c>
      <c r="C40" s="1" t="s">
        <v>44</v>
      </c>
      <c r="D40" s="1" t="s">
        <v>39</v>
      </c>
      <c r="E40" s="8">
        <f>7230.01*1421.9</f>
        <v>10280351.219000001</v>
      </c>
      <c r="F40" s="8">
        <f>(162809.26-25536.11)+(727421.05-221104.06)+(176467.01-95820.01)+(205966.49-24460.57)+(200210.89-92153.52)+(199058.59-88355.42)+(213438.66-92884.93)+(202172.65-89516.65)+(209812.35-100596.43)+(315286.86-45825.23)+(8137.83-527)+(802978.77-633295.98)</f>
        <v>1913684.5</v>
      </c>
      <c r="G40" s="8">
        <f>23536.11+221104.06+95820.01+24460.57+92153.52+88355.42+92884.93+89516.65+100596.43+45825.23+527+633295.98</f>
        <v>1508075.9100000001</v>
      </c>
      <c r="H40" s="2">
        <f t="shared" si="0"/>
        <v>13702111.629000001</v>
      </c>
      <c r="I40" s="4">
        <v>300000</v>
      </c>
      <c r="J40" s="3">
        <v>200000</v>
      </c>
      <c r="K40" s="3">
        <f>(H40*1/100)+100000</f>
        <v>237021.11629000001</v>
      </c>
      <c r="L40" s="29" t="s">
        <v>131</v>
      </c>
      <c r="M40" s="27">
        <v>2</v>
      </c>
      <c r="N40" s="20" t="s">
        <v>112</v>
      </c>
      <c r="O40" s="19"/>
      <c r="P40" s="25" t="s">
        <v>112</v>
      </c>
      <c r="Q40" s="16" t="s">
        <v>112</v>
      </c>
      <c r="R40" s="16" t="s">
        <v>112</v>
      </c>
      <c r="S40" s="16" t="s">
        <v>112</v>
      </c>
      <c r="T40" s="16" t="s">
        <v>112</v>
      </c>
    </row>
    <row r="41" spans="1:20" x14ac:dyDescent="0.25">
      <c r="A41" s="1">
        <v>38</v>
      </c>
      <c r="B41" s="1" t="s">
        <v>154</v>
      </c>
      <c r="C41" s="1" t="s">
        <v>45</v>
      </c>
      <c r="D41" s="1" t="s">
        <v>9</v>
      </c>
      <c r="E41" s="8">
        <v>200101.25</v>
      </c>
      <c r="F41" s="8">
        <f>64546.04-25157.69</f>
        <v>39388.350000000006</v>
      </c>
      <c r="G41" s="8">
        <f>25157.69</f>
        <v>25157.69</v>
      </c>
      <c r="H41" s="2">
        <f t="shared" si="0"/>
        <v>264647.28999999998</v>
      </c>
      <c r="I41" s="4">
        <f t="shared" si="1"/>
        <v>30015.1875</v>
      </c>
      <c r="J41" s="3">
        <f t="shared" si="2"/>
        <v>7032.5504999999994</v>
      </c>
      <c r="K41" s="3">
        <f t="shared" si="3"/>
        <v>52646.472900000001</v>
      </c>
      <c r="L41" s="30"/>
      <c r="M41" s="24"/>
      <c r="N41" s="18"/>
      <c r="O41" s="19"/>
      <c r="P41" s="25" t="s">
        <v>112</v>
      </c>
      <c r="Q41" s="18"/>
      <c r="R41" s="16" t="s">
        <v>112</v>
      </c>
      <c r="S41" s="18"/>
      <c r="T41" s="16" t="s">
        <v>112</v>
      </c>
    </row>
    <row r="42" spans="1:20" x14ac:dyDescent="0.25">
      <c r="A42" s="1">
        <v>39</v>
      </c>
      <c r="B42" s="1" t="s">
        <v>46</v>
      </c>
      <c r="C42" s="1" t="s">
        <v>75</v>
      </c>
      <c r="D42" s="1" t="s">
        <v>9</v>
      </c>
      <c r="E42" s="8">
        <v>742516.95</v>
      </c>
      <c r="F42" s="8">
        <f>225205.94-129154.29</f>
        <v>96051.650000000009</v>
      </c>
      <c r="G42" s="8">
        <f>129154.29</f>
        <v>129154.29</v>
      </c>
      <c r="H42" s="2">
        <f t="shared" si="0"/>
        <v>967722.89</v>
      </c>
      <c r="I42" s="4">
        <f t="shared" si="1"/>
        <v>111377.5425</v>
      </c>
      <c r="J42" s="3">
        <f t="shared" si="2"/>
        <v>33256.027499999997</v>
      </c>
      <c r="K42" s="3">
        <f t="shared" si="3"/>
        <v>59677.228900000002</v>
      </c>
      <c r="L42" s="30"/>
      <c r="M42" s="24"/>
      <c r="N42" s="18"/>
      <c r="O42" s="19"/>
      <c r="P42" s="25" t="s">
        <v>112</v>
      </c>
      <c r="Q42" s="18"/>
      <c r="R42" s="16" t="s">
        <v>112</v>
      </c>
      <c r="S42" s="18"/>
      <c r="T42" s="16" t="s">
        <v>112</v>
      </c>
    </row>
    <row r="43" spans="1:20" x14ac:dyDescent="0.25">
      <c r="A43" s="1">
        <v>40</v>
      </c>
      <c r="B43" s="1" t="s">
        <v>155</v>
      </c>
      <c r="C43" s="1" t="s">
        <v>72</v>
      </c>
      <c r="D43" s="1" t="s">
        <v>9</v>
      </c>
      <c r="E43" s="8">
        <v>673119.5</v>
      </c>
      <c r="F43" s="8">
        <f>239233.22</f>
        <v>239233.22</v>
      </c>
      <c r="G43" s="8">
        <f>239233.22-132329.55</f>
        <v>106903.67000000001</v>
      </c>
      <c r="H43" s="2">
        <f t="shared" si="0"/>
        <v>1019256.39</v>
      </c>
      <c r="I43" s="4">
        <f t="shared" si="1"/>
        <v>100967.925</v>
      </c>
      <c r="J43" s="3">
        <f t="shared" si="2"/>
        <v>28111.929000000004</v>
      </c>
      <c r="K43" s="3">
        <f t="shared" si="3"/>
        <v>60192.563900000001</v>
      </c>
      <c r="L43" s="30"/>
      <c r="M43" s="24"/>
      <c r="N43" s="18"/>
      <c r="O43" s="19"/>
      <c r="P43" s="25" t="s">
        <v>112</v>
      </c>
      <c r="Q43" s="18"/>
      <c r="R43" s="16" t="s">
        <v>112</v>
      </c>
      <c r="S43" s="18"/>
      <c r="T43" s="16" t="s">
        <v>112</v>
      </c>
    </row>
    <row r="44" spans="1:20" x14ac:dyDescent="0.25">
      <c r="A44" s="1">
        <v>41</v>
      </c>
      <c r="B44" s="1" t="s">
        <v>156</v>
      </c>
      <c r="C44" s="1" t="s">
        <v>47</v>
      </c>
      <c r="D44" s="1" t="s">
        <v>9</v>
      </c>
      <c r="E44" s="8">
        <v>337285.21</v>
      </c>
      <c r="F44" s="8">
        <f>157421.15-103716.55</f>
        <v>53704.599999999991</v>
      </c>
      <c r="G44" s="8">
        <f>103716.55</f>
        <v>103716.55</v>
      </c>
      <c r="H44" s="2">
        <f t="shared" si="0"/>
        <v>494706.36</v>
      </c>
      <c r="I44" s="4">
        <f t="shared" si="1"/>
        <v>50592.781500000005</v>
      </c>
      <c r="J44" s="3">
        <f t="shared" si="2"/>
        <v>24116.162100000001</v>
      </c>
      <c r="K44" s="3">
        <f t="shared" si="3"/>
        <v>54947.063600000001</v>
      </c>
      <c r="L44" s="30"/>
      <c r="M44" s="24"/>
      <c r="N44" s="18"/>
      <c r="O44" s="19"/>
      <c r="P44" s="25" t="s">
        <v>112</v>
      </c>
      <c r="Q44" s="18"/>
      <c r="R44" s="16" t="s">
        <v>112</v>
      </c>
      <c r="S44" s="18"/>
      <c r="T44" s="16" t="s">
        <v>112</v>
      </c>
    </row>
    <row r="45" spans="1:20" x14ac:dyDescent="0.25">
      <c r="A45" s="1">
        <v>42</v>
      </c>
      <c r="B45" s="1" t="s">
        <v>48</v>
      </c>
      <c r="C45" s="1" t="s">
        <v>49</v>
      </c>
      <c r="D45" s="1" t="s">
        <v>9</v>
      </c>
      <c r="E45" s="8">
        <f>1674.41*1421.9</f>
        <v>2380843.5790000004</v>
      </c>
      <c r="F45" s="8">
        <f>(210283.84-87969.71)+(82506.85-55303.54)+(112858.8-9507)+(169119.82-75731.09)+(166388.34-80633.98)+(155932.68-75518.67)</f>
        <v>512426.33999999997</v>
      </c>
      <c r="G45" s="8">
        <f>87969.71+55303.54+9507+75731.09+80633.98+75518.67</f>
        <v>384663.99</v>
      </c>
      <c r="H45" s="2">
        <f t="shared" si="0"/>
        <v>3277933.909</v>
      </c>
      <c r="I45" s="4">
        <v>300000</v>
      </c>
      <c r="J45" s="3">
        <f t="shared" si="2"/>
        <v>100741.23379</v>
      </c>
      <c r="K45" s="3">
        <f>(H45*1/100)+100000</f>
        <v>132779.33908999999</v>
      </c>
      <c r="L45" s="31" t="s">
        <v>113</v>
      </c>
      <c r="M45" s="25">
        <v>2</v>
      </c>
      <c r="N45" s="18"/>
      <c r="O45" s="19"/>
      <c r="P45" s="25" t="s">
        <v>112</v>
      </c>
      <c r="Q45" s="16" t="s">
        <v>112</v>
      </c>
      <c r="R45" s="16" t="s">
        <v>112</v>
      </c>
      <c r="S45" s="18"/>
      <c r="T45" s="18"/>
    </row>
    <row r="46" spans="1:20" x14ac:dyDescent="0.25">
      <c r="A46" s="1">
        <v>43</v>
      </c>
      <c r="B46" s="1" t="s">
        <v>50</v>
      </c>
      <c r="C46" s="1" t="s">
        <v>51</v>
      </c>
      <c r="D46" s="1" t="s">
        <v>9</v>
      </c>
      <c r="E46" s="6">
        <v>1488834.37</v>
      </c>
      <c r="F46" s="8">
        <f>274959.34-164619.88</f>
        <v>110339.46000000002</v>
      </c>
      <c r="G46" s="8">
        <v>164619.88</v>
      </c>
      <c r="H46" s="2">
        <f t="shared" si="0"/>
        <v>1763793.71</v>
      </c>
      <c r="I46" s="4">
        <f t="shared" si="1"/>
        <v>223325.15549999999</v>
      </c>
      <c r="J46" s="3">
        <f t="shared" si="2"/>
        <v>47812.319700000007</v>
      </c>
      <c r="K46" s="3">
        <f t="shared" si="3"/>
        <v>67637.937099999996</v>
      </c>
      <c r="L46" s="30"/>
      <c r="M46" s="24"/>
      <c r="N46" s="18"/>
      <c r="O46" s="19"/>
      <c r="P46" s="25" t="s">
        <v>112</v>
      </c>
      <c r="Q46" s="16" t="s">
        <v>112</v>
      </c>
      <c r="R46" s="16" t="s">
        <v>112</v>
      </c>
      <c r="S46" s="18"/>
      <c r="T46" s="16" t="s">
        <v>112</v>
      </c>
    </row>
    <row r="47" spans="1:20" x14ac:dyDescent="0.25">
      <c r="A47" s="1">
        <v>44</v>
      </c>
      <c r="B47" s="1" t="s">
        <v>52</v>
      </c>
      <c r="C47" s="1" t="s">
        <v>53</v>
      </c>
      <c r="D47" s="1" t="s">
        <v>54</v>
      </c>
      <c r="E47" s="6">
        <v>1525579.18</v>
      </c>
      <c r="F47" s="8">
        <f>336784.95-193999.16</f>
        <v>142785.79</v>
      </c>
      <c r="G47" s="8">
        <v>193999.16</v>
      </c>
      <c r="H47" s="2">
        <f t="shared" si="0"/>
        <v>1862364.13</v>
      </c>
      <c r="I47" s="4">
        <f t="shared" si="1"/>
        <v>228836.87699999998</v>
      </c>
      <c r="J47" s="3">
        <f t="shared" si="2"/>
        <v>54055.623800000001</v>
      </c>
      <c r="K47" s="3">
        <f t="shared" si="3"/>
        <v>68623.641300000003</v>
      </c>
      <c r="L47" s="31" t="s">
        <v>113</v>
      </c>
      <c r="M47" s="24"/>
      <c r="N47" s="18"/>
      <c r="O47" s="19"/>
      <c r="P47" s="25" t="s">
        <v>112</v>
      </c>
      <c r="Q47" s="16" t="s">
        <v>112</v>
      </c>
      <c r="R47" s="16" t="s">
        <v>112</v>
      </c>
      <c r="S47" s="18"/>
      <c r="T47" s="16" t="s">
        <v>112</v>
      </c>
    </row>
    <row r="48" spans="1:20" x14ac:dyDescent="0.25">
      <c r="A48" s="1">
        <v>45</v>
      </c>
      <c r="B48" s="1" t="s">
        <v>157</v>
      </c>
      <c r="C48" s="1" t="s">
        <v>55</v>
      </c>
      <c r="D48" s="1" t="s">
        <v>9</v>
      </c>
      <c r="E48" s="6">
        <v>416869.19</v>
      </c>
      <c r="F48" s="8">
        <f>102712.94-60471.7</f>
        <v>42241.240000000005</v>
      </c>
      <c r="G48" s="8">
        <f>60471.7</f>
        <v>60471.7</v>
      </c>
      <c r="H48" s="2">
        <f t="shared" si="0"/>
        <v>519582.13</v>
      </c>
      <c r="I48" s="4">
        <f t="shared" si="1"/>
        <v>62530.378499999999</v>
      </c>
      <c r="J48" s="3">
        <f t="shared" si="2"/>
        <v>16263.0319</v>
      </c>
      <c r="K48" s="3">
        <f t="shared" si="3"/>
        <v>55195.821299999996</v>
      </c>
      <c r="L48" s="30"/>
      <c r="M48" s="24"/>
      <c r="N48" s="18"/>
      <c r="O48" s="19"/>
      <c r="P48" s="25" t="s">
        <v>112</v>
      </c>
      <c r="Q48" s="16" t="s">
        <v>112</v>
      </c>
      <c r="R48" s="16" t="s">
        <v>112</v>
      </c>
      <c r="S48" s="18"/>
      <c r="T48" s="16" t="s">
        <v>112</v>
      </c>
    </row>
    <row r="49" spans="1:20" x14ac:dyDescent="0.25">
      <c r="A49" s="1">
        <v>46</v>
      </c>
      <c r="B49" s="1" t="s">
        <v>56</v>
      </c>
      <c r="C49" s="1" t="s">
        <v>77</v>
      </c>
      <c r="D49" s="1" t="s">
        <v>9</v>
      </c>
      <c r="E49" s="6">
        <v>2172556.89</v>
      </c>
      <c r="F49" s="8">
        <f>(15986.28-15588.28)+(271329.64-114086.6)+(85592.45-67982.89)</f>
        <v>175250.6</v>
      </c>
      <c r="G49" s="8">
        <f>15588.28+114086.6+67982.89</f>
        <v>197657.77000000002</v>
      </c>
      <c r="H49" s="2">
        <f t="shared" si="0"/>
        <v>2545465.2600000002</v>
      </c>
      <c r="I49" s="4">
        <v>300000</v>
      </c>
      <c r="J49" s="3">
        <f t="shared" si="2"/>
        <v>61257.122900000002</v>
      </c>
      <c r="K49" s="3">
        <f t="shared" si="3"/>
        <v>75454.652600000001</v>
      </c>
      <c r="L49" s="31" t="s">
        <v>136</v>
      </c>
      <c r="M49" s="24"/>
      <c r="N49" s="18"/>
      <c r="O49" s="19"/>
      <c r="P49" s="25" t="s">
        <v>112</v>
      </c>
      <c r="Q49" s="16" t="s">
        <v>112</v>
      </c>
      <c r="R49" s="16" t="s">
        <v>112</v>
      </c>
      <c r="S49" s="18"/>
      <c r="T49" s="16" t="s">
        <v>112</v>
      </c>
    </row>
    <row r="50" spans="1:20" ht="45" x14ac:dyDescent="0.25">
      <c r="A50" s="1">
        <v>47</v>
      </c>
      <c r="B50" s="1" t="s">
        <v>57</v>
      </c>
      <c r="C50" s="1" t="s">
        <v>76</v>
      </c>
      <c r="D50" s="1" t="s">
        <v>54</v>
      </c>
      <c r="E50" s="6">
        <v>19348443.899999999</v>
      </c>
      <c r="F50" s="8">
        <f>47787.98+(106518.25-80390.27)+(53904.92-36465.64)+(194023.74-158722.19)+(137939.75-69393.45)+(145595.36-68518.07)+(160331.78-82983.72)+(141973.41-72043.65)</f>
        <v>419558.19999999995</v>
      </c>
      <c r="G50" s="8">
        <f>80390.27+36465.64+158722.19+69393.45+68518.07+82983.72+72043.65</f>
        <v>568516.99</v>
      </c>
      <c r="H50" s="2">
        <f t="shared" si="0"/>
        <v>20336519.089999996</v>
      </c>
      <c r="I50" s="4">
        <v>300000</v>
      </c>
      <c r="J50" s="3">
        <v>200000</v>
      </c>
      <c r="K50" s="3">
        <f t="shared" si="3"/>
        <v>253365.19089999996</v>
      </c>
      <c r="L50" s="29" t="s">
        <v>135</v>
      </c>
      <c r="M50" s="27">
        <v>1</v>
      </c>
      <c r="N50" s="16" t="s">
        <v>112</v>
      </c>
      <c r="O50" s="19"/>
      <c r="P50" s="25" t="s">
        <v>112</v>
      </c>
      <c r="Q50" s="16" t="s">
        <v>112</v>
      </c>
      <c r="R50" s="16" t="s">
        <v>112</v>
      </c>
      <c r="S50" s="16" t="s">
        <v>112</v>
      </c>
      <c r="T50" s="16" t="s">
        <v>112</v>
      </c>
    </row>
    <row r="51" spans="1:20" x14ac:dyDescent="0.25">
      <c r="A51" s="1">
        <v>48</v>
      </c>
      <c r="B51" s="1" t="s">
        <v>158</v>
      </c>
      <c r="C51" s="1" t="s">
        <v>58</v>
      </c>
      <c r="D51" s="1" t="s">
        <v>9</v>
      </c>
      <c r="E51" s="6">
        <v>989850.23</v>
      </c>
      <c r="F51" s="8">
        <f>265040.77-134094.34</f>
        <v>130946.43000000002</v>
      </c>
      <c r="G51" s="8">
        <f>134094.34</f>
        <v>134094.34</v>
      </c>
      <c r="H51" s="2">
        <f t="shared" si="0"/>
        <v>1254891</v>
      </c>
      <c r="I51" s="4">
        <f t="shared" si="1"/>
        <v>148477.53449999998</v>
      </c>
      <c r="J51" s="3">
        <f t="shared" si="2"/>
        <v>36717.370299999995</v>
      </c>
      <c r="K51" s="3">
        <f t="shared" si="3"/>
        <v>62548.91</v>
      </c>
      <c r="L51" s="30"/>
      <c r="M51" s="24"/>
      <c r="N51" s="18"/>
      <c r="O51" s="19"/>
      <c r="P51" s="25" t="s">
        <v>112</v>
      </c>
      <c r="Q51" s="16" t="s">
        <v>112</v>
      </c>
      <c r="R51" s="16" t="s">
        <v>112</v>
      </c>
      <c r="S51" s="18"/>
      <c r="T51" s="16" t="s">
        <v>112</v>
      </c>
    </row>
    <row r="52" spans="1:20" x14ac:dyDescent="0.25">
      <c r="A52" s="1">
        <v>49</v>
      </c>
      <c r="B52" s="1" t="s">
        <v>59</v>
      </c>
      <c r="C52" s="1" t="s">
        <v>60</v>
      </c>
      <c r="D52" s="1" t="s">
        <v>9</v>
      </c>
      <c r="E52" s="6">
        <v>921165.57</v>
      </c>
      <c r="F52" s="8">
        <f>291737.39-144229.43</f>
        <v>147507.96000000002</v>
      </c>
      <c r="G52" s="8">
        <f>144229.43</f>
        <v>144229.43</v>
      </c>
      <c r="H52" s="2">
        <f t="shared" si="0"/>
        <v>1212902.96</v>
      </c>
      <c r="I52" s="4">
        <f t="shared" si="1"/>
        <v>138174.83549999999</v>
      </c>
      <c r="J52" s="3">
        <f t="shared" si="2"/>
        <v>38057.541699999994</v>
      </c>
      <c r="K52" s="3">
        <f t="shared" si="3"/>
        <v>62129.029600000002</v>
      </c>
      <c r="L52" s="30"/>
      <c r="M52" s="24"/>
      <c r="N52" s="18"/>
      <c r="O52" s="19"/>
      <c r="P52" s="24"/>
      <c r="Q52" s="18"/>
      <c r="R52" s="16" t="s">
        <v>112</v>
      </c>
      <c r="S52" s="18"/>
      <c r="T52" s="16" t="s">
        <v>112</v>
      </c>
    </row>
    <row r="53" spans="1:20" x14ac:dyDescent="0.25">
      <c r="A53" s="1">
        <v>50</v>
      </c>
      <c r="B53" s="1" t="s">
        <v>159</v>
      </c>
      <c r="C53" s="1" t="s">
        <v>90</v>
      </c>
      <c r="D53" s="1" t="s">
        <v>9</v>
      </c>
      <c r="E53" s="6">
        <v>210347.15</v>
      </c>
      <c r="F53" s="8">
        <f>97112.32-59197.45</f>
        <v>37914.87000000001</v>
      </c>
      <c r="G53" s="8">
        <f>59197.45</f>
        <v>59197.45</v>
      </c>
      <c r="H53" s="2">
        <f t="shared" si="0"/>
        <v>307459.47000000003</v>
      </c>
      <c r="I53" s="4">
        <f t="shared" si="1"/>
        <v>31552.072499999998</v>
      </c>
      <c r="J53" s="3">
        <f t="shared" si="2"/>
        <v>13942.961499999999</v>
      </c>
      <c r="K53" s="3">
        <f t="shared" si="3"/>
        <v>53074.594700000001</v>
      </c>
      <c r="L53" s="30"/>
      <c r="M53" s="24"/>
      <c r="N53" s="18"/>
      <c r="O53" s="19"/>
      <c r="P53" s="25" t="s">
        <v>112</v>
      </c>
      <c r="Q53" s="18"/>
      <c r="R53" s="16" t="s">
        <v>112</v>
      </c>
      <c r="S53" s="18"/>
      <c r="T53" s="16" t="s">
        <v>112</v>
      </c>
    </row>
    <row r="54" spans="1:20" ht="22.5" x14ac:dyDescent="0.25">
      <c r="A54" s="1">
        <v>51</v>
      </c>
      <c r="B54" s="1" t="s">
        <v>61</v>
      </c>
      <c r="C54" s="1" t="s">
        <v>89</v>
      </c>
      <c r="D54" s="1" t="s">
        <v>9</v>
      </c>
      <c r="E54" s="6">
        <v>959534.45</v>
      </c>
      <c r="F54" s="8">
        <f>206406.1-111212.26</f>
        <v>95193.840000000011</v>
      </c>
      <c r="G54" s="8">
        <f>111212.26</f>
        <v>111212.26</v>
      </c>
      <c r="H54" s="2">
        <f t="shared" si="0"/>
        <v>1165940.55</v>
      </c>
      <c r="I54" s="4">
        <f t="shared" si="1"/>
        <v>143930.16750000001</v>
      </c>
      <c r="J54" s="3">
        <f t="shared" si="2"/>
        <v>31837.796499999997</v>
      </c>
      <c r="K54" s="3">
        <f t="shared" si="3"/>
        <v>61659.405500000001</v>
      </c>
      <c r="L54" s="30"/>
      <c r="M54" s="24"/>
      <c r="N54" s="18"/>
      <c r="O54" s="19"/>
      <c r="P54" s="25" t="s">
        <v>112</v>
      </c>
      <c r="Q54" s="16" t="s">
        <v>112</v>
      </c>
      <c r="R54" s="16" t="s">
        <v>112</v>
      </c>
      <c r="S54" s="18"/>
      <c r="T54" s="16" t="s">
        <v>112</v>
      </c>
    </row>
    <row r="55" spans="1:20" x14ac:dyDescent="0.25">
      <c r="A55" s="1">
        <v>52</v>
      </c>
      <c r="B55" s="1" t="s">
        <v>160</v>
      </c>
      <c r="C55" s="1" t="s">
        <v>62</v>
      </c>
      <c r="D55" s="1" t="s">
        <v>9</v>
      </c>
      <c r="E55" s="8">
        <f>3246.47*1421.9</f>
        <v>4616155.693</v>
      </c>
      <c r="F55" s="8">
        <f>(262207.52-42675.14-109789.86)+(195783.64-83489.62)+(190105.84-86219.09)+(151801.32-68787.59)+(130852.93-76511.92)+(68558.3-49438.65)</f>
        <v>482397.68000000005</v>
      </c>
      <c r="G55" s="8">
        <v>573495.52</v>
      </c>
      <c r="H55" s="2">
        <f t="shared" si="0"/>
        <v>5672048.8929999992</v>
      </c>
      <c r="I55" s="4">
        <v>300000</v>
      </c>
      <c r="J55" s="3">
        <f t="shared" si="2"/>
        <v>160860.66093000001</v>
      </c>
      <c r="K55" s="3">
        <f t="shared" si="3"/>
        <v>106720.48892999999</v>
      </c>
      <c r="L55" s="31" t="s">
        <v>125</v>
      </c>
      <c r="M55" s="25">
        <v>1</v>
      </c>
      <c r="N55" s="18"/>
      <c r="O55" s="12" t="s">
        <v>112</v>
      </c>
      <c r="P55" s="25" t="s">
        <v>112</v>
      </c>
      <c r="Q55" s="16" t="s">
        <v>112</v>
      </c>
      <c r="R55" s="16" t="s">
        <v>112</v>
      </c>
      <c r="S55" s="18"/>
      <c r="T55" s="16" t="s">
        <v>112</v>
      </c>
    </row>
    <row r="56" spans="1:20" x14ac:dyDescent="0.25">
      <c r="A56" s="1">
        <v>54</v>
      </c>
      <c r="B56" s="1" t="s">
        <v>161</v>
      </c>
      <c r="C56" s="1" t="s">
        <v>63</v>
      </c>
      <c r="D56" s="1" t="s">
        <v>9</v>
      </c>
      <c r="E56" s="6">
        <v>132798.39000000001</v>
      </c>
      <c r="F56" s="8">
        <f>46306.13-25640.89</f>
        <v>20665.239999999998</v>
      </c>
      <c r="G56" s="8">
        <v>25640.89</v>
      </c>
      <c r="H56" s="2">
        <f t="shared" si="0"/>
        <v>179104.52000000002</v>
      </c>
      <c r="I56" s="4">
        <f t="shared" si="1"/>
        <v>19919.7585</v>
      </c>
      <c r="J56" s="3">
        <f t="shared" si="2"/>
        <v>6456.1619000000001</v>
      </c>
      <c r="K56" s="3">
        <f t="shared" si="3"/>
        <v>51791.0452</v>
      </c>
      <c r="L56" s="30"/>
      <c r="M56" s="24"/>
      <c r="N56" s="18"/>
      <c r="O56" s="19"/>
      <c r="P56" s="25" t="s">
        <v>112</v>
      </c>
      <c r="Q56" s="18"/>
      <c r="R56" s="16" t="s">
        <v>112</v>
      </c>
      <c r="S56" s="18"/>
      <c r="T56" s="16" t="s">
        <v>112</v>
      </c>
    </row>
    <row r="57" spans="1:20" ht="22.5" x14ac:dyDescent="0.25">
      <c r="A57" s="1">
        <v>55</v>
      </c>
      <c r="B57" s="1" t="s">
        <v>64</v>
      </c>
      <c r="C57" s="1" t="s">
        <v>88</v>
      </c>
      <c r="D57" s="1" t="s">
        <v>9</v>
      </c>
      <c r="E57" s="6">
        <v>874192.71</v>
      </c>
      <c r="F57" s="8">
        <f>280126.24-129280</f>
        <v>150846.24</v>
      </c>
      <c r="G57" s="8">
        <f>129280</f>
        <v>129280</v>
      </c>
      <c r="H57" s="2">
        <f t="shared" si="0"/>
        <v>1154318.95</v>
      </c>
      <c r="I57" s="4">
        <f t="shared" si="1"/>
        <v>131128.90649999998</v>
      </c>
      <c r="J57" s="3">
        <f t="shared" si="2"/>
        <v>34597.927100000001</v>
      </c>
      <c r="K57" s="3">
        <f t="shared" si="3"/>
        <v>61543.1895</v>
      </c>
      <c r="L57" s="30"/>
      <c r="M57" s="24"/>
      <c r="N57" s="18"/>
      <c r="O57" s="19"/>
      <c r="P57" s="25" t="s">
        <v>112</v>
      </c>
      <c r="Q57" s="16" t="s">
        <v>112</v>
      </c>
      <c r="R57" s="16" t="s">
        <v>112</v>
      </c>
      <c r="S57" s="18"/>
      <c r="T57" s="16" t="s">
        <v>112</v>
      </c>
    </row>
    <row r="58" spans="1:20" x14ac:dyDescent="0.25">
      <c r="A58" s="1">
        <v>56</v>
      </c>
      <c r="B58" s="1" t="s">
        <v>65</v>
      </c>
      <c r="C58" s="1" t="s">
        <v>87</v>
      </c>
      <c r="D58" s="1" t="s">
        <v>19</v>
      </c>
      <c r="E58" s="6">
        <v>792220.85</v>
      </c>
      <c r="F58" s="8">
        <f>(316596.9-161830.52)+(37374.47-27383.75)</f>
        <v>164757.10000000003</v>
      </c>
      <c r="G58" s="8">
        <f>161830.52+27383.75</f>
        <v>189214.27</v>
      </c>
      <c r="H58" s="2">
        <f t="shared" si="0"/>
        <v>1146192.22</v>
      </c>
      <c r="I58" s="4">
        <f t="shared" si="1"/>
        <v>118833.1275</v>
      </c>
      <c r="J58" s="3">
        <f t="shared" si="2"/>
        <v>45765.0625</v>
      </c>
      <c r="K58" s="3">
        <f t="shared" si="3"/>
        <v>61461.922200000001</v>
      </c>
      <c r="L58" s="31" t="s">
        <v>132</v>
      </c>
      <c r="M58" s="24"/>
      <c r="N58" s="18"/>
      <c r="O58" s="19"/>
      <c r="P58" s="25" t="s">
        <v>112</v>
      </c>
      <c r="Q58" s="18"/>
      <c r="R58" s="16" t="s">
        <v>112</v>
      </c>
      <c r="S58" s="18"/>
      <c r="T58" s="16" t="s">
        <v>112</v>
      </c>
    </row>
    <row r="59" spans="1:20" x14ac:dyDescent="0.25">
      <c r="A59" s="1">
        <v>57</v>
      </c>
      <c r="B59" s="1" t="s">
        <v>162</v>
      </c>
      <c r="C59" s="1" t="s">
        <v>84</v>
      </c>
      <c r="D59" s="1" t="s">
        <v>128</v>
      </c>
      <c r="E59" s="6">
        <v>446773.88</v>
      </c>
      <c r="F59" s="8">
        <v>0</v>
      </c>
      <c r="G59" s="8">
        <v>0</v>
      </c>
      <c r="H59" s="2">
        <f t="shared" si="0"/>
        <v>446773.88</v>
      </c>
      <c r="I59" s="4">
        <f t="shared" si="1"/>
        <v>67016.081999999995</v>
      </c>
      <c r="J59" s="3">
        <f t="shared" si="2"/>
        <v>4467.7388000000001</v>
      </c>
      <c r="K59" s="3">
        <f t="shared" si="3"/>
        <v>54467.738799999999</v>
      </c>
      <c r="L59" s="30"/>
      <c r="M59" s="24"/>
      <c r="N59" s="18"/>
      <c r="O59" s="19"/>
      <c r="P59" s="25" t="s">
        <v>112</v>
      </c>
      <c r="Q59" s="18"/>
      <c r="R59" s="16" t="s">
        <v>112</v>
      </c>
      <c r="S59" s="18"/>
      <c r="T59" s="16" t="s">
        <v>112</v>
      </c>
    </row>
    <row r="60" spans="1:20" x14ac:dyDescent="0.25">
      <c r="A60" s="1">
        <v>58</v>
      </c>
      <c r="B60" s="1" t="s">
        <v>66</v>
      </c>
      <c r="C60" s="1" t="s">
        <v>86</v>
      </c>
      <c r="D60" s="1" t="s">
        <v>7</v>
      </c>
      <c r="E60" s="6">
        <v>1583223.46</v>
      </c>
      <c r="F60" s="8">
        <f>(155645.77-25598.47-78458.71)+(62849.84-44209.96)+(57038.09-5137.65)+(173546.99-86394.58)+(191677.33-100486.6)</f>
        <v>300472.04999999993</v>
      </c>
      <c r="G60" s="8">
        <f>78458.71+44209.96+5137.65+86394.58+100486.6</f>
        <v>314687.5</v>
      </c>
      <c r="H60" s="2">
        <f t="shared" si="0"/>
        <v>2198383.0099999998</v>
      </c>
      <c r="I60" s="4">
        <f t="shared" si="1"/>
        <v>237483.51899999997</v>
      </c>
      <c r="J60" s="3">
        <f t="shared" si="2"/>
        <v>78769.734599999996</v>
      </c>
      <c r="K60" s="3">
        <f t="shared" si="3"/>
        <v>71983.830099999992</v>
      </c>
      <c r="L60" s="31" t="s">
        <v>133</v>
      </c>
      <c r="M60" s="25">
        <v>1</v>
      </c>
      <c r="N60" s="18"/>
      <c r="O60" s="19"/>
      <c r="P60" s="25" t="s">
        <v>112</v>
      </c>
      <c r="Q60" s="16" t="s">
        <v>112</v>
      </c>
      <c r="R60" s="16" t="s">
        <v>112</v>
      </c>
      <c r="S60" s="18"/>
      <c r="T60" s="16" t="s">
        <v>112</v>
      </c>
    </row>
    <row r="61" spans="1:20" x14ac:dyDescent="0.25">
      <c r="A61" s="1">
        <v>59</v>
      </c>
      <c r="B61" s="1" t="s">
        <v>163</v>
      </c>
      <c r="C61" s="1" t="s">
        <v>73</v>
      </c>
      <c r="D61" s="1" t="s">
        <v>21</v>
      </c>
      <c r="E61" s="6">
        <v>441667.39</v>
      </c>
      <c r="F61" s="8">
        <f>20039.78+4982.01+270+306.68</f>
        <v>25598.47</v>
      </c>
      <c r="G61" s="8">
        <v>0</v>
      </c>
      <c r="H61" s="2">
        <f t="shared" si="0"/>
        <v>467265.86</v>
      </c>
      <c r="I61" s="4">
        <f t="shared" si="1"/>
        <v>66250.108500000002</v>
      </c>
      <c r="J61" s="3">
        <f t="shared" si="2"/>
        <v>4416.6738999999998</v>
      </c>
      <c r="K61" s="3">
        <f t="shared" si="3"/>
        <v>54672.658600000002</v>
      </c>
      <c r="L61" s="30"/>
      <c r="M61" s="24"/>
      <c r="N61" s="18"/>
      <c r="O61" s="19"/>
      <c r="P61" s="25" t="s">
        <v>112</v>
      </c>
      <c r="Q61" s="16" t="s">
        <v>112</v>
      </c>
      <c r="R61" s="16" t="s">
        <v>112</v>
      </c>
      <c r="S61" s="18"/>
      <c r="T61" s="16" t="s">
        <v>112</v>
      </c>
    </row>
    <row r="62" spans="1:20" x14ac:dyDescent="0.25">
      <c r="A62" s="1">
        <v>60</v>
      </c>
      <c r="B62" s="1" t="s">
        <v>67</v>
      </c>
      <c r="C62" s="1" t="s">
        <v>85</v>
      </c>
      <c r="D62" s="1" t="s">
        <v>9</v>
      </c>
      <c r="E62" s="6">
        <v>450972.18</v>
      </c>
      <c r="F62" s="8">
        <f>235667.4-135557.23</f>
        <v>100110.16999999998</v>
      </c>
      <c r="G62" s="8">
        <v>135557.23000000001</v>
      </c>
      <c r="H62" s="2">
        <f t="shared" si="0"/>
        <v>686639.58</v>
      </c>
      <c r="I62" s="4">
        <f t="shared" si="1"/>
        <v>67645.827000000005</v>
      </c>
      <c r="J62" s="3">
        <f t="shared" si="2"/>
        <v>31621.167799999999</v>
      </c>
      <c r="K62" s="3">
        <f t="shared" si="3"/>
        <v>56866.395799999998</v>
      </c>
      <c r="L62" s="31" t="s">
        <v>134</v>
      </c>
      <c r="M62" s="24"/>
      <c r="N62" s="18"/>
      <c r="O62" s="19"/>
      <c r="P62" s="25" t="s">
        <v>112</v>
      </c>
      <c r="Q62" s="18"/>
      <c r="R62" s="16" t="s">
        <v>112</v>
      </c>
      <c r="S62" s="18"/>
      <c r="T62" s="16" t="s">
        <v>112</v>
      </c>
    </row>
    <row r="63" spans="1:20" x14ac:dyDescent="0.25">
      <c r="A63" s="1">
        <v>61</v>
      </c>
      <c r="B63" s="1" t="s">
        <v>68</v>
      </c>
      <c r="C63" s="1" t="s">
        <v>74</v>
      </c>
      <c r="D63" s="1" t="s">
        <v>9</v>
      </c>
      <c r="E63" s="6">
        <v>705822.31</v>
      </c>
      <c r="F63" s="8">
        <f>176880.71-112011.29</f>
        <v>64869.42</v>
      </c>
      <c r="G63" s="8">
        <f>112011.29</f>
        <v>112011.29</v>
      </c>
      <c r="H63" s="2">
        <f t="shared" si="0"/>
        <v>882703.02000000014</v>
      </c>
      <c r="I63" s="4">
        <f t="shared" si="1"/>
        <v>105873.3465</v>
      </c>
      <c r="J63" s="3">
        <f t="shared" si="2"/>
        <v>29460.481099999997</v>
      </c>
      <c r="K63" s="3">
        <f t="shared" si="3"/>
        <v>58827.030200000001</v>
      </c>
      <c r="L63" s="30"/>
      <c r="M63" s="24"/>
      <c r="N63" s="18"/>
      <c r="O63" s="19"/>
      <c r="P63" s="25" t="s">
        <v>112</v>
      </c>
      <c r="Q63" s="16" t="s">
        <v>112</v>
      </c>
      <c r="R63" s="16" t="s">
        <v>112</v>
      </c>
      <c r="S63" s="18"/>
      <c r="T63" s="16" t="s">
        <v>112</v>
      </c>
    </row>
    <row r="65" spans="1:7" x14ac:dyDescent="0.25">
      <c r="A65" t="s">
        <v>139</v>
      </c>
    </row>
    <row r="66" spans="1:7" x14ac:dyDescent="0.25">
      <c r="A66" t="s">
        <v>140</v>
      </c>
    </row>
    <row r="67" spans="1:7" x14ac:dyDescent="0.25">
      <c r="A67" t="s">
        <v>141</v>
      </c>
      <c r="F67" s="10"/>
      <c r="G67" s="10"/>
    </row>
    <row r="69" spans="1:7" x14ac:dyDescent="0.25">
      <c r="F69" s="10"/>
      <c r="G69" s="11"/>
    </row>
    <row r="71" spans="1:7" x14ac:dyDescent="0.25">
      <c r="F71" s="10"/>
      <c r="G71" s="10"/>
    </row>
    <row r="74" spans="1:7" x14ac:dyDescent="0.25">
      <c r="F74" s="10"/>
      <c r="G74" s="11"/>
    </row>
  </sheetData>
  <mergeCells count="1">
    <mergeCell ref="A1:P1"/>
  </mergeCells>
  <pageMargins left="0.23622047244094491" right="0.23622047244094491" top="0.74803149606299213" bottom="0.74803149606299213" header="0.31496062992125984" footer="0.31496062992125984"/>
  <pageSetup paperSize="9" scale="41" fitToWidth="0" orientation="landscape" r:id="rId1"/>
  <ignoredErrors>
    <ignoredError sqref="K40 K21 K13 K7 K45 K1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do Trabalho da 9ª Região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Elizângela Gomes Barboza</dc:creator>
  <cp:lastModifiedBy>Paulo Celso Gerva</cp:lastModifiedBy>
  <cp:lastPrinted>2015-08-12T15:54:03Z</cp:lastPrinted>
  <dcterms:created xsi:type="dcterms:W3CDTF">2014-06-11T18:56:18Z</dcterms:created>
  <dcterms:modified xsi:type="dcterms:W3CDTF">2015-08-12T16:55:58Z</dcterms:modified>
</cp:coreProperties>
</file>